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ebain_l\Desktop\"/>
    </mc:Choice>
  </mc:AlternateContent>
  <bookViews>
    <workbookView xWindow="7575" yWindow="-120" windowWidth="16380" windowHeight="8190" tabRatio="500"/>
  </bookViews>
  <sheets>
    <sheet name="Bilan" sheetId="1" r:id="rId1"/>
    <sheet name="Compte de résultat" sheetId="2" r:id="rId2"/>
    <sheet name="Lexique" sheetId="5" r:id="rId3"/>
    <sheet name="Ratios Bilan" sheetId="3" state="hidden" r:id="rId4"/>
    <sheet name="Ratios Compte Résultat" sheetId="4" state="hidden" r:id="rId5"/>
    <sheet name="Mode d'emploi" sheetId="7" state="hidden" r:id="rId6"/>
  </sheets>
  <externalReferences>
    <externalReference r:id="rId7"/>
  </externalReferences>
  <definedNames>
    <definedName name="annee" localSheetId="2">[1]Bilan!$E$2</definedName>
    <definedName name="annee">Bilan!$E$3</definedName>
    <definedName name="date">Bilan!$B$4</definedName>
    <definedName name="datte">[1]Bilan!$B$3</definedName>
    <definedName name="Excel_BuiltIn__FilterDatabase" localSheetId="3">#REF!</definedName>
    <definedName name="nom" localSheetId="2">[1]Bilan!$D$3</definedName>
    <definedName name="nom">Bilan!$D$4</definedName>
    <definedName name="_xlnm.Print_Area" localSheetId="0">Bilan!$A$2:$H$34</definedName>
    <definedName name="_xlnm.Print_Area" localSheetId="1">'Compte de résultat'!$A$1:$I$52</definedName>
    <definedName name="_xlnm.Print_Area" localSheetId="2">Lexique!$A$1:$C$54</definedName>
    <definedName name="_xlnm.Print_Area" localSheetId="5">'Mode d''emploi'!$A$1:$C$14</definedName>
    <definedName name="_xlnm.Print_Area" localSheetId="3">'Ratios Bilan'!$A$1:$G$68</definedName>
    <definedName name="_xlnm.Print_Area" localSheetId="4">'Ratios Compte Résultat'!$A$1:$L$110</definedName>
  </definedNames>
  <calcPr calcId="162913"/>
  <extLst>
    <ext xmlns:loext="http://schemas.libreoffice.org/" uri="{7626C862-2A13-11E5-B345-FEFF819CDC9F}">
      <loext:extCalcPr stringRefSyntax="CalcA1"/>
    </ext>
  </extLst>
</workbook>
</file>

<file path=xl/calcChain.xml><?xml version="1.0" encoding="utf-8"?>
<calcChain xmlns="http://schemas.openxmlformats.org/spreadsheetml/2006/main">
  <c r="F34" i="4" l="1"/>
  <c r="D34" i="4"/>
  <c r="B34" i="4"/>
  <c r="F28" i="4"/>
  <c r="D28" i="4"/>
  <c r="B28" i="4"/>
  <c r="F24" i="4"/>
  <c r="D24" i="4"/>
  <c r="B24" i="4"/>
  <c r="F23" i="4"/>
  <c r="D23" i="4"/>
  <c r="B23" i="4"/>
  <c r="F22" i="4"/>
  <c r="D22" i="4"/>
  <c r="B22" i="4"/>
  <c r="F17" i="4"/>
  <c r="D17" i="4"/>
  <c r="B17" i="4"/>
  <c r="F15" i="4"/>
  <c r="D15" i="4"/>
  <c r="B15" i="4"/>
  <c r="F14" i="4"/>
  <c r="D14" i="4"/>
  <c r="B14" i="4"/>
  <c r="F12" i="4"/>
  <c r="G12" i="4" s="1"/>
  <c r="D12" i="4"/>
  <c r="E12" i="4" s="1"/>
  <c r="B12" i="4"/>
  <c r="C12" i="4" s="1"/>
  <c r="F10" i="4"/>
  <c r="D41" i="4" s="1"/>
  <c r="D10" i="4"/>
  <c r="C41" i="4" s="1"/>
  <c r="B10" i="4"/>
  <c r="B41" i="4" s="1"/>
  <c r="D37" i="3"/>
  <c r="C37" i="3"/>
  <c r="D36" i="3"/>
  <c r="C36" i="3"/>
  <c r="D33" i="3"/>
  <c r="C33" i="3"/>
  <c r="D32" i="3"/>
  <c r="C32" i="3"/>
  <c r="D30" i="3"/>
  <c r="C30" i="3"/>
  <c r="D29" i="3"/>
  <c r="C29" i="3"/>
  <c r="D21" i="3"/>
  <c r="C21" i="3"/>
  <c r="D20" i="3"/>
  <c r="C20" i="3"/>
  <c r="D19" i="3"/>
  <c r="C19" i="3"/>
  <c r="D18" i="3"/>
  <c r="C18" i="3"/>
  <c r="D17" i="3"/>
  <c r="C17" i="3"/>
  <c r="D16" i="3"/>
  <c r="C16" i="3"/>
  <c r="D15" i="3"/>
  <c r="C15" i="3"/>
  <c r="D14" i="3"/>
  <c r="C14" i="3"/>
  <c r="D13" i="3"/>
  <c r="C13" i="3"/>
  <c r="I48" i="2"/>
  <c r="H48" i="2"/>
  <c r="G48" i="2"/>
  <c r="E48" i="2"/>
  <c r="D48" i="2"/>
  <c r="C48" i="2"/>
  <c r="I36" i="2"/>
  <c r="F31" i="4" s="1"/>
  <c r="H36" i="2"/>
  <c r="D31" i="4" s="1"/>
  <c r="G36" i="2"/>
  <c r="B31" i="4" s="1"/>
  <c r="E36" i="2"/>
  <c r="F32" i="4" s="1"/>
  <c r="D36" i="2"/>
  <c r="D32" i="4" s="1"/>
  <c r="C36" i="2"/>
  <c r="B32" i="4" s="1"/>
  <c r="I34" i="2"/>
  <c r="F27" i="4" s="1"/>
  <c r="H34" i="2"/>
  <c r="D27" i="4" s="1"/>
  <c r="G34" i="2"/>
  <c r="B27" i="4" s="1"/>
  <c r="E34" i="2"/>
  <c r="D34" i="2"/>
  <c r="C34" i="2"/>
  <c r="I30" i="2"/>
  <c r="F16" i="4" s="1"/>
  <c r="H30" i="2"/>
  <c r="D16" i="4" s="1"/>
  <c r="G30" i="2"/>
  <c r="B16" i="4" s="1"/>
  <c r="E30" i="2"/>
  <c r="D30" i="2"/>
  <c r="C30" i="2"/>
  <c r="E28" i="2"/>
  <c r="F21" i="4" s="1"/>
  <c r="D28" i="2"/>
  <c r="D21" i="4" s="1"/>
  <c r="C28" i="2"/>
  <c r="B21" i="4" s="1"/>
  <c r="E21" i="2"/>
  <c r="D21" i="2"/>
  <c r="C21" i="2"/>
  <c r="I14" i="2"/>
  <c r="F13" i="4" s="1"/>
  <c r="H14" i="2"/>
  <c r="D13" i="4" s="1"/>
  <c r="G14" i="2"/>
  <c r="B13" i="4" s="1"/>
  <c r="E14" i="2"/>
  <c r="D14" i="2"/>
  <c r="C14" i="2"/>
  <c r="I8" i="2"/>
  <c r="F11" i="4" s="1"/>
  <c r="H8" i="2"/>
  <c r="D11" i="4" s="1"/>
  <c r="G8" i="2"/>
  <c r="B11" i="4" s="1"/>
  <c r="E8" i="2"/>
  <c r="F19" i="4" s="1"/>
  <c r="D8" i="2"/>
  <c r="D19" i="4" s="1"/>
  <c r="C8" i="2"/>
  <c r="B19" i="4" s="1"/>
  <c r="E2" i="2"/>
  <c r="H33" i="1"/>
  <c r="G33" i="1"/>
  <c r="D33" i="1"/>
  <c r="C33" i="1"/>
  <c r="D21" i="1"/>
  <c r="D25" i="3" s="1"/>
  <c r="C21" i="1"/>
  <c r="C25" i="3" s="1"/>
  <c r="D16" i="1"/>
  <c r="D24" i="3" s="1"/>
  <c r="C16" i="1"/>
  <c r="C24" i="3" s="1"/>
  <c r="H11" i="1"/>
  <c r="D44" i="3" s="1"/>
  <c r="G11" i="1"/>
  <c r="C44" i="3" s="1"/>
  <c r="D11" i="1"/>
  <c r="D23" i="3" s="1"/>
  <c r="C11" i="1"/>
  <c r="B4" i="1"/>
  <c r="B2" i="2" s="1"/>
  <c r="C31" i="3" l="1"/>
  <c r="B43" i="4"/>
  <c r="B44" i="4"/>
  <c r="F71" i="4"/>
  <c r="D43" i="4"/>
  <c r="F65" i="4"/>
  <c r="C43" i="4"/>
  <c r="E44" i="3"/>
  <c r="F44" i="3"/>
  <c r="T21" i="3"/>
  <c r="D46" i="3"/>
  <c r="F46" i="3" s="1"/>
  <c r="C46" i="3"/>
  <c r="T33" i="3"/>
  <c r="T37" i="3"/>
  <c r="D31" i="3"/>
  <c r="T31" i="3" s="1"/>
  <c r="E31" i="3" s="1"/>
  <c r="D28" i="3"/>
  <c r="C25" i="1"/>
  <c r="C34" i="1" s="1"/>
  <c r="F20" i="4"/>
  <c r="F25" i="4" s="1"/>
  <c r="D47" i="4" s="1"/>
  <c r="D20" i="4"/>
  <c r="D25" i="4" s="1"/>
  <c r="C47" i="4" s="1"/>
  <c r="B20" i="4"/>
  <c r="B25" i="4" s="1"/>
  <c r="C44" i="4"/>
  <c r="F44" i="4" s="1"/>
  <c r="T32" i="3"/>
  <c r="T17" i="3"/>
  <c r="T19" i="3"/>
  <c r="T20" i="3"/>
  <c r="T16" i="3"/>
  <c r="T15" i="3"/>
  <c r="T14" i="3"/>
  <c r="T13" i="3"/>
  <c r="T36" i="3"/>
  <c r="C28" i="3"/>
  <c r="C34" i="3" s="1"/>
  <c r="T29" i="3"/>
  <c r="T24" i="3"/>
  <c r="C23" i="3"/>
  <c r="C22" i="3" s="1"/>
  <c r="E3" i="1"/>
  <c r="F105" i="4" s="1"/>
  <c r="D22" i="3"/>
  <c r="D25" i="1"/>
  <c r="D34" i="1" s="1"/>
  <c r="H25" i="1"/>
  <c r="D29" i="4"/>
  <c r="D33" i="4"/>
  <c r="C42" i="2"/>
  <c r="C47" i="3" s="1"/>
  <c r="E42" i="2"/>
  <c r="H42" i="2"/>
  <c r="D12" i="3"/>
  <c r="T30" i="3"/>
  <c r="G25" i="1"/>
  <c r="B29" i="4"/>
  <c r="F29" i="4"/>
  <c r="B33" i="4"/>
  <c r="F33" i="4"/>
  <c r="D42" i="2"/>
  <c r="D47" i="3" s="1"/>
  <c r="E47" i="3" s="1"/>
  <c r="G42" i="2"/>
  <c r="I42" i="2"/>
  <c r="C12" i="3"/>
  <c r="C11" i="3" s="1"/>
  <c r="B18" i="4"/>
  <c r="C11" i="4" s="1"/>
  <c r="F18" i="4"/>
  <c r="G23" i="4" s="1"/>
  <c r="D18" i="4"/>
  <c r="E11" i="4" s="1"/>
  <c r="B47" i="4"/>
  <c r="D44" i="4"/>
  <c r="AD44" i="4" s="1"/>
  <c r="D42" i="4" l="1"/>
  <c r="C42" i="4"/>
  <c r="F42" i="4" s="1"/>
  <c r="B42" i="4"/>
  <c r="C26" i="3"/>
  <c r="E46" i="3"/>
  <c r="F67" i="4"/>
  <c r="F82" i="4"/>
  <c r="C28" i="4"/>
  <c r="T46" i="3"/>
  <c r="T23" i="3"/>
  <c r="D34" i="3"/>
  <c r="T34" i="3" s="1"/>
  <c r="F34" i="3" s="1"/>
  <c r="T28" i="3"/>
  <c r="E28" i="3" s="1"/>
  <c r="G34" i="4"/>
  <c r="G28" i="4"/>
  <c r="E17" i="4"/>
  <c r="E34" i="4"/>
  <c r="G17" i="4"/>
  <c r="C34" i="4"/>
  <c r="E28" i="4"/>
  <c r="C38" i="3"/>
  <c r="T22" i="3"/>
  <c r="E22" i="3" s="1"/>
  <c r="C27" i="4"/>
  <c r="C31" i="4"/>
  <c r="F43" i="4"/>
  <c r="E31" i="4"/>
  <c r="G31" i="4"/>
  <c r="G29" i="4"/>
  <c r="E23" i="4"/>
  <c r="E22" i="4"/>
  <c r="K79" i="4" s="1"/>
  <c r="E32" i="4"/>
  <c r="G32" i="4"/>
  <c r="G33" i="4"/>
  <c r="G27" i="4"/>
  <c r="E27" i="4"/>
  <c r="E24" i="4"/>
  <c r="G24" i="4"/>
  <c r="E20" i="4"/>
  <c r="K80" i="4" s="1"/>
  <c r="E21" i="4"/>
  <c r="C33" i="4"/>
  <c r="C29" i="4"/>
  <c r="C22" i="4"/>
  <c r="C23" i="4"/>
  <c r="C20" i="4"/>
  <c r="C24" i="4"/>
  <c r="C32" i="4"/>
  <c r="C21" i="4"/>
  <c r="C17" i="4"/>
  <c r="G22" i="4"/>
  <c r="C46" i="2"/>
  <c r="E46" i="2"/>
  <c r="G21" i="4"/>
  <c r="G15" i="4"/>
  <c r="G14" i="4"/>
  <c r="G11" i="4"/>
  <c r="G16" i="4"/>
  <c r="D45" i="4"/>
  <c r="G20" i="4"/>
  <c r="G13" i="4"/>
  <c r="G19" i="4"/>
  <c r="E16" i="4"/>
  <c r="C16" i="4"/>
  <c r="E15" i="4"/>
  <c r="C15" i="4"/>
  <c r="C14" i="4"/>
  <c r="E44" i="4"/>
  <c r="E14" i="4"/>
  <c r="K65" i="4" s="1"/>
  <c r="E19" i="4"/>
  <c r="E13" i="4"/>
  <c r="K62" i="4" s="1"/>
  <c r="C13" i="4"/>
  <c r="C19" i="4"/>
  <c r="F109" i="4"/>
  <c r="C45" i="4"/>
  <c r="F45" i="4" s="1"/>
  <c r="B45" i="4"/>
  <c r="H10" i="1"/>
  <c r="C10" i="3"/>
  <c r="C7" i="1"/>
  <c r="E6" i="2"/>
  <c r="G10" i="1"/>
  <c r="D10" i="1"/>
  <c r="C6" i="2"/>
  <c r="H6" i="2"/>
  <c r="D42" i="3"/>
  <c r="I6" i="2"/>
  <c r="C44" i="2"/>
  <c r="F10" i="3"/>
  <c r="C10" i="1"/>
  <c r="D6" i="2"/>
  <c r="C42" i="3"/>
  <c r="C4" i="2"/>
  <c r="G6" i="2"/>
  <c r="B5" i="3"/>
  <c r="C40" i="4"/>
  <c r="D44" i="2"/>
  <c r="D10" i="3"/>
  <c r="B9" i="4"/>
  <c r="D9" i="4"/>
  <c r="F60" i="4"/>
  <c r="F9" i="4"/>
  <c r="A5" i="4"/>
  <c r="H9" i="4"/>
  <c r="F77" i="4"/>
  <c r="F40" i="4"/>
  <c r="F83" i="4"/>
  <c r="B40" i="4"/>
  <c r="L83" i="4"/>
  <c r="F68" i="4"/>
  <c r="F100" i="4"/>
  <c r="A54" i="4"/>
  <c r="F78" i="4"/>
  <c r="F106" i="4"/>
  <c r="D40" i="4"/>
  <c r="F61" i="4"/>
  <c r="F69" i="4"/>
  <c r="F99" i="4"/>
  <c r="F47" i="4"/>
  <c r="AD47" i="4"/>
  <c r="E47" i="4" s="1"/>
  <c r="K61" i="4"/>
  <c r="E18" i="4"/>
  <c r="D26" i="4"/>
  <c r="H33" i="4"/>
  <c r="H32" i="4"/>
  <c r="I32" i="4" s="1"/>
  <c r="H31" i="4"/>
  <c r="I31" i="4" s="1"/>
  <c r="K69" i="4"/>
  <c r="K68" i="4"/>
  <c r="H29" i="4"/>
  <c r="H28" i="4"/>
  <c r="I28" i="4" s="1"/>
  <c r="H27" i="4"/>
  <c r="I27" i="4" s="1"/>
  <c r="H25" i="4"/>
  <c r="H24" i="4"/>
  <c r="I24" i="4" s="1"/>
  <c r="H23" i="4"/>
  <c r="I23" i="4" s="1"/>
  <c r="H20" i="4"/>
  <c r="H19" i="4"/>
  <c r="I19" i="4" s="1"/>
  <c r="G18" i="4"/>
  <c r="H14" i="4"/>
  <c r="H11" i="4"/>
  <c r="H34" i="4"/>
  <c r="I34" i="4" s="1"/>
  <c r="F26" i="4"/>
  <c r="H22" i="4"/>
  <c r="H21" i="4"/>
  <c r="I21" i="4" s="1"/>
  <c r="H18" i="4"/>
  <c r="H17" i="4"/>
  <c r="I17" i="4" s="1"/>
  <c r="H16" i="4"/>
  <c r="I16" i="4" s="1"/>
  <c r="H15" i="4"/>
  <c r="I15" i="4" s="1"/>
  <c r="H13" i="4"/>
  <c r="H12" i="4"/>
  <c r="I12" i="4" s="1"/>
  <c r="C45" i="3"/>
  <c r="G34" i="1"/>
  <c r="D46" i="2"/>
  <c r="K103" i="4"/>
  <c r="E33" i="4"/>
  <c r="D46" i="4"/>
  <c r="G25" i="4"/>
  <c r="B46" i="4"/>
  <c r="C25" i="4"/>
  <c r="C18" i="4"/>
  <c r="B26" i="4"/>
  <c r="T47" i="3"/>
  <c r="F47" i="3"/>
  <c r="K78" i="4"/>
  <c r="C46" i="4"/>
  <c r="E25" i="4"/>
  <c r="T12" i="3"/>
  <c r="F12" i="3" s="1"/>
  <c r="D11" i="3"/>
  <c r="K102" i="4"/>
  <c r="E29" i="4"/>
  <c r="D45" i="3"/>
  <c r="E45" i="3" s="1"/>
  <c r="H34" i="1"/>
  <c r="K63" i="4" l="1"/>
  <c r="AD45" i="4"/>
  <c r="E45" i="4" s="1"/>
  <c r="AD43" i="4"/>
  <c r="E43" i="4" s="1"/>
  <c r="AD42" i="4"/>
  <c r="E42" i="4" s="1"/>
  <c r="AD46" i="4"/>
  <c r="F46" i="4"/>
  <c r="E34" i="3"/>
  <c r="H26" i="4"/>
  <c r="J26" i="4" s="1"/>
  <c r="K64" i="4"/>
  <c r="T44" i="3"/>
  <c r="H36" i="1"/>
  <c r="D43" i="3"/>
  <c r="G36" i="1"/>
  <c r="C43" i="3"/>
  <c r="E12" i="3"/>
  <c r="F45" i="3"/>
  <c r="T45" i="3"/>
  <c r="D26" i="3"/>
  <c r="T11" i="3"/>
  <c r="E11" i="3" s="1"/>
  <c r="B30" i="4"/>
  <c r="C26" i="4"/>
  <c r="E46" i="4"/>
  <c r="I13" i="4"/>
  <c r="K70" i="4" s="1"/>
  <c r="J13" i="4"/>
  <c r="I18" i="4"/>
  <c r="J18" i="4"/>
  <c r="I22" i="4"/>
  <c r="K84" i="4" s="1"/>
  <c r="J22" i="4"/>
  <c r="J14" i="4"/>
  <c r="I14" i="4"/>
  <c r="K71" i="4" s="1"/>
  <c r="J25" i="4"/>
  <c r="I25" i="4"/>
  <c r="K83" i="4" s="1"/>
  <c r="D30" i="4"/>
  <c r="K101" i="4"/>
  <c r="E26" i="4"/>
  <c r="F30" i="4"/>
  <c r="K107" i="4"/>
  <c r="G26" i="4"/>
  <c r="J11" i="4"/>
  <c r="I11" i="4"/>
  <c r="J20" i="4"/>
  <c r="I20" i="4"/>
  <c r="K85" i="4" s="1"/>
  <c r="I29" i="4"/>
  <c r="J29" i="4"/>
  <c r="J33" i="4"/>
  <c r="I33" i="4"/>
  <c r="E43" i="3" l="1"/>
  <c r="F43" i="3"/>
  <c r="T43" i="3"/>
  <c r="I26" i="4"/>
  <c r="H30" i="4"/>
  <c r="I30" i="4" s="1"/>
  <c r="D35" i="4"/>
  <c r="C48" i="4" s="1"/>
  <c r="E30" i="4"/>
  <c r="F35" i="4"/>
  <c r="D48" i="4" s="1"/>
  <c r="G30" i="4"/>
  <c r="B35" i="4"/>
  <c r="B48" i="4" s="1"/>
  <c r="C30" i="4"/>
  <c r="D38" i="3"/>
  <c r="F38" i="3" s="1"/>
  <c r="T26" i="3"/>
  <c r="F26" i="3" s="1"/>
  <c r="AD48" i="4" l="1"/>
  <c r="D49" i="4"/>
  <c r="F48" i="4"/>
  <c r="C49" i="4"/>
  <c r="F49" i="4" s="1"/>
  <c r="B49" i="4"/>
  <c r="H35" i="4"/>
  <c r="J35" i="4" s="1"/>
  <c r="E26" i="3"/>
  <c r="T38" i="3"/>
  <c r="E38" i="3" s="1"/>
  <c r="C35" i="4"/>
  <c r="K106" i="4"/>
  <c r="G35" i="4"/>
  <c r="K100" i="4"/>
  <c r="E35" i="4"/>
  <c r="AD49" i="4" l="1"/>
  <c r="E49" i="4" s="1"/>
  <c r="K109" i="4"/>
  <c r="I35" i="4"/>
  <c r="E48" i="4"/>
</calcChain>
</file>

<file path=xl/sharedStrings.xml><?xml version="1.0" encoding="utf-8"?>
<sst xmlns="http://schemas.openxmlformats.org/spreadsheetml/2006/main" count="407" uniqueCount="368">
  <si>
    <t xml:space="preserve">Demande de subvention </t>
  </si>
  <si>
    <t>Date :</t>
  </si>
  <si>
    <t>Nom de l'organisme :</t>
  </si>
  <si>
    <t>BILAN</t>
  </si>
  <si>
    <t xml:space="preserve">Attention : en cas d'exercice comptable sur une SAISON : </t>
  </si>
  <si>
    <t>Données en Euros</t>
  </si>
  <si>
    <t>ACTIF</t>
  </si>
  <si>
    <t>PASSIF</t>
  </si>
  <si>
    <t xml:space="preserve">Intitulé </t>
  </si>
  <si>
    <t>Intitulé</t>
  </si>
  <si>
    <t>Immobilisations incorporelles</t>
  </si>
  <si>
    <t>Capitaux propres</t>
  </si>
  <si>
    <t>Frais d'études</t>
  </si>
  <si>
    <t>Capital ou fonds associatifs</t>
  </si>
  <si>
    <t xml:space="preserve">Concessions et brevets </t>
  </si>
  <si>
    <t xml:space="preserve">Réserves </t>
  </si>
  <si>
    <t>Fonds commercial</t>
  </si>
  <si>
    <t>Reports à nouveau</t>
  </si>
  <si>
    <t>Avances et acomptes</t>
  </si>
  <si>
    <t xml:space="preserve">Résultat de l'exercice </t>
  </si>
  <si>
    <t>Immobilisations corporelles</t>
  </si>
  <si>
    <t xml:space="preserve">Subventions d'investissements </t>
  </si>
  <si>
    <t>Terrains</t>
  </si>
  <si>
    <t xml:space="preserve">Provisions réglementées </t>
  </si>
  <si>
    <t>Bâtiments</t>
  </si>
  <si>
    <t>Travaux</t>
  </si>
  <si>
    <t>Acquisitions</t>
  </si>
  <si>
    <t xml:space="preserve">Provisions pour risques et charges </t>
  </si>
  <si>
    <t>Immobilisations financières</t>
  </si>
  <si>
    <t>Fonds dédiés</t>
  </si>
  <si>
    <t>Prêts</t>
  </si>
  <si>
    <t xml:space="preserve">Autres immobilisations financières </t>
  </si>
  <si>
    <t>Dettes financières (&gt;1an)</t>
  </si>
  <si>
    <t>TOTAL EMPLOIS STABLES</t>
  </si>
  <si>
    <t>TOTAL RESSOURCES DURABLES</t>
  </si>
  <si>
    <t>Stocks et en cours</t>
  </si>
  <si>
    <t>Dettes financières (&lt;1an)</t>
  </si>
  <si>
    <t xml:space="preserve">Créances usagers et comptes rattachés </t>
  </si>
  <si>
    <t xml:space="preserve">Dettes fiscales et sociales </t>
  </si>
  <si>
    <t xml:space="preserve">Autres créances </t>
  </si>
  <si>
    <t xml:space="preserve">Fournisseurs - dettes diverses </t>
  </si>
  <si>
    <t xml:space="preserve">Valeurs mobilières de placement </t>
  </si>
  <si>
    <t>Autres dettes</t>
  </si>
  <si>
    <t>Disponibilités</t>
  </si>
  <si>
    <t>Charges constatées d'avance</t>
  </si>
  <si>
    <t>Produits constatés d'avance</t>
  </si>
  <si>
    <t>Charges à répartir sur plusieurs exercices</t>
  </si>
  <si>
    <t>Concours bancaires courants</t>
  </si>
  <si>
    <t>TOTAL ACTIF CIRCULANT</t>
  </si>
  <si>
    <t>TOTAL RESSOURCES EXPLOITATION</t>
  </si>
  <si>
    <t xml:space="preserve">TOTAL ACTIF </t>
  </si>
  <si>
    <t>TOTAL PASSIF</t>
  </si>
  <si>
    <t>Méthodologie</t>
  </si>
  <si>
    <t xml:space="preserve">1.Les champs jaunes sont ceux à remplir. Les champs de couleur bleue et rose se calculent automatiquement. </t>
  </si>
  <si>
    <t>Le bilan doit impérativement être équilibré.</t>
  </si>
  <si>
    <t xml:space="preserve">Date : </t>
  </si>
  <si>
    <t>COMPTE DE RESULTAT</t>
  </si>
  <si>
    <t>CHARGES</t>
  </si>
  <si>
    <t xml:space="preserve">PRODUITS </t>
  </si>
  <si>
    <t>Réalisé</t>
  </si>
  <si>
    <t>60- Achats</t>
  </si>
  <si>
    <t>70- Production vendue</t>
  </si>
  <si>
    <t xml:space="preserve"> - Achats de marchandises</t>
  </si>
  <si>
    <t xml:space="preserve"> - Prestations de service</t>
  </si>
  <si>
    <t xml:space="preserve"> - Variations de stock (marchandises)</t>
  </si>
  <si>
    <t xml:space="preserve"> - Vente de marchandises</t>
  </si>
  <si>
    <t xml:space="preserve"> - Fournitures non stockables (eau, énergie)</t>
  </si>
  <si>
    <t xml:space="preserve"> - Produits des activités annexes</t>
  </si>
  <si>
    <t xml:space="preserve"> - Fournitures d'entretien et de petit équipement</t>
  </si>
  <si>
    <t>71- Production stockée</t>
  </si>
  <si>
    <t xml:space="preserve"> - Fournitures administratives</t>
  </si>
  <si>
    <t>71- Production immobilisée</t>
  </si>
  <si>
    <t>61- Services exterieurs</t>
  </si>
  <si>
    <t xml:space="preserve">74- Subventions d'exploitation </t>
  </si>
  <si>
    <t xml:space="preserve"> - Sous traitance générale</t>
  </si>
  <si>
    <t xml:space="preserve"> </t>
  </si>
  <si>
    <t xml:space="preserve"> - Locations</t>
  </si>
  <si>
    <r>
      <rPr>
        <sz val="10"/>
        <rFont val="Arial"/>
        <family val="2"/>
      </rPr>
      <t xml:space="preserve"> - Etat </t>
    </r>
    <r>
      <rPr>
        <sz val="8"/>
        <rFont val="Arial"/>
        <family val="2"/>
        <charset val="1"/>
      </rPr>
      <t>(précisez le(s) ministère(s) sollicitée (s)</t>
    </r>
  </si>
  <si>
    <t xml:space="preserve"> - Entretien et réparation</t>
  </si>
  <si>
    <t xml:space="preserve"> - Assurances</t>
  </si>
  <si>
    <t xml:space="preserve"> - Région</t>
  </si>
  <si>
    <t xml:space="preserve"> - Documentation</t>
  </si>
  <si>
    <t xml:space="preserve"> - Divers</t>
  </si>
  <si>
    <t xml:space="preserve"> - Département</t>
  </si>
  <si>
    <t xml:space="preserve">62- Autres services exterieurs </t>
  </si>
  <si>
    <t xml:space="preserve"> - Grenoble Alpes Métropole</t>
  </si>
  <si>
    <t xml:space="preserve"> - Rémunérations intermédiaires et honoraires </t>
  </si>
  <si>
    <t xml:space="preserve"> - Ville de Grenoble</t>
  </si>
  <si>
    <t xml:space="preserve"> - Publicité et publications</t>
  </si>
  <si>
    <t xml:space="preserve"> - Déplacements, missions</t>
  </si>
  <si>
    <t xml:space="preserve"> - Organismes sociaux (à détailler)</t>
  </si>
  <si>
    <t xml:space="preserve"> - Frais postaux et de télécommunications</t>
  </si>
  <si>
    <t xml:space="preserve"> - Service bancaires, autres</t>
  </si>
  <si>
    <t xml:space="preserve"> - Fonds européens</t>
  </si>
  <si>
    <t xml:space="preserve"> - Autres: cotisations, redevances …</t>
  </si>
  <si>
    <t>63- Impôts et taxes</t>
  </si>
  <si>
    <t xml:space="preserve"> - CNASEA (emplois aidés)</t>
  </si>
  <si>
    <t xml:space="preserve"> - Impôts et taxes</t>
  </si>
  <si>
    <t xml:space="preserve"> - Autres  (précisez)</t>
  </si>
  <si>
    <t>64- Charges du personnel</t>
  </si>
  <si>
    <t>75- Autres produits de gestion courante</t>
  </si>
  <si>
    <t xml:space="preserve"> - Salaires et traitements</t>
  </si>
  <si>
    <t xml:space="preserve"> - Cotisations, licences, adhésions …</t>
  </si>
  <si>
    <t xml:space="preserve"> - Charges sociales</t>
  </si>
  <si>
    <t xml:space="preserve"> - Autres</t>
  </si>
  <si>
    <t>65- Autres charges de gestion courantes</t>
  </si>
  <si>
    <t>66- Charges financières</t>
  </si>
  <si>
    <t>76- Produits financiers</t>
  </si>
  <si>
    <t xml:space="preserve"> - Intérêts emprunts et autres </t>
  </si>
  <si>
    <t xml:space="preserve"> - Intérêts des placements et autres</t>
  </si>
  <si>
    <t>67- Charges exceptionnelles</t>
  </si>
  <si>
    <t xml:space="preserve">77- Produits exceptionnels </t>
  </si>
  <si>
    <t xml:space="preserve"> - valeur comptable des immobilisations cédées</t>
  </si>
  <si>
    <t xml:space="preserve"> - produits des cessions des éléments d'actifs</t>
  </si>
  <si>
    <t xml:space="preserve"> - autres charges exceptionnelles</t>
  </si>
  <si>
    <t xml:space="preserve"> - part des subventions d'investissement transférées au résultat de l'exercice</t>
  </si>
  <si>
    <t xml:space="preserve"> - autres produits exceptionnels</t>
  </si>
  <si>
    <t>68- Dotations aux amortis et provisions</t>
  </si>
  <si>
    <t>78- Reprises sur amortis et provisions</t>
  </si>
  <si>
    <t>69- Impôts sur les bénéfices</t>
  </si>
  <si>
    <t>79- Transferts de charges</t>
  </si>
  <si>
    <t>TOTAL DES CHARGES</t>
  </si>
  <si>
    <t>TOTAL DES PRODUITS</t>
  </si>
  <si>
    <t>Prévu</t>
  </si>
  <si>
    <t>Projection de clôture ou réalisé</t>
  </si>
  <si>
    <t>Résultat net</t>
  </si>
  <si>
    <t>86- Contributions volontaires en nature</t>
  </si>
  <si>
    <t>87- Contributions volontaires en nature</t>
  </si>
  <si>
    <t xml:space="preserve"> - Dons en nature</t>
  </si>
  <si>
    <t xml:space="preserve"> - Mise à dispo. des biens et prestations</t>
  </si>
  <si>
    <t xml:space="preserve"> - Prestations en nature</t>
  </si>
  <si>
    <t xml:space="preserve"> - Mise à dispo. de personnel</t>
  </si>
  <si>
    <t xml:space="preserve"> - Personnels bénévoles</t>
  </si>
  <si>
    <t xml:space="preserve"> - Bénévolat</t>
  </si>
  <si>
    <t xml:space="preserve">1. Les champs jaunes sont ceux à remplir. Les champs de couleur bleue et rose se calculent automatiquement. </t>
  </si>
  <si>
    <t>2. Saisir le prévisionnel de l'année en cours : budget ou projection de clôture  (estimation la plus actualisée possible)</t>
  </si>
  <si>
    <t>3. Vérifier que:  TOTAL PRODUITS - TOTAL CHARGES = RESULTAT NET</t>
  </si>
  <si>
    <t xml:space="preserve">I - Présentation du bilan fonctionnel </t>
  </si>
  <si>
    <t>K€</t>
  </si>
  <si>
    <t>Norme</t>
  </si>
  <si>
    <t>LONG TERME</t>
  </si>
  <si>
    <t xml:space="preserve">Ressources stables </t>
  </si>
  <si>
    <r>
      <rPr>
        <b/>
        <sz val="11"/>
        <color rgb="FF000000"/>
        <rFont val="Arial"/>
        <family val="2"/>
        <charset val="1"/>
      </rPr>
      <t xml:space="preserve">Dont </t>
    </r>
    <r>
      <rPr>
        <b/>
        <sz val="11"/>
        <rFont val="Arial"/>
        <family val="2"/>
        <charset val="1"/>
      </rPr>
      <t>Fonds propres</t>
    </r>
  </si>
  <si>
    <t>Des capitaux propres négatifs sont le signe d'une très grande fragilité de la situation financière. Ils peuvent mettre en péril l'association</t>
  </si>
  <si>
    <t xml:space="preserve">  dont Capital ou fonds associatifs</t>
  </si>
  <si>
    <t xml:space="preserve">  dont Réserves </t>
  </si>
  <si>
    <t xml:space="preserve">  dont Reports à nouveau</t>
  </si>
  <si>
    <t xml:space="preserve">  dont Résultat de l'exercice </t>
  </si>
  <si>
    <t xml:space="preserve">  dont Subventions d'investissements </t>
  </si>
  <si>
    <t xml:space="preserve"> dont Provisions réglementées </t>
  </si>
  <si>
    <t xml:space="preserve">    ● Fonds dédiés</t>
  </si>
  <si>
    <t xml:space="preserve">    ● Provisions pour risques et charges </t>
  </si>
  <si>
    <t xml:space="preserve">    ● Dettes financières (&gt;1an)</t>
  </si>
  <si>
    <t>Emplois stables (Actif immobilisé net)</t>
  </si>
  <si>
    <t xml:space="preserve">    ●  Immobilisations incorporelles</t>
  </si>
  <si>
    <t xml:space="preserve">    ●  Immobilisations corporelles</t>
  </si>
  <si>
    <t xml:space="preserve">    ●  Immobilisations financières</t>
  </si>
  <si>
    <t>FR (Fonds de roulement)</t>
  </si>
  <si>
    <t>= ressources stables - emplois stables. 
Le fonds de roulement est le surplus monétaire qui va servir à compléter le financement du cycle d'exploitation</t>
  </si>
  <si>
    <t>COURT TERME</t>
  </si>
  <si>
    <t>Actif circulant</t>
  </si>
  <si>
    <t xml:space="preserve">    ● Stocks et créances</t>
  </si>
  <si>
    <r>
      <rPr>
        <b/>
        <sz val="11"/>
        <rFont val="Arial"/>
        <family val="2"/>
        <charset val="1"/>
      </rPr>
      <t xml:space="preserve">   </t>
    </r>
    <r>
      <rPr>
        <sz val="11"/>
        <rFont val="Arial"/>
        <family val="2"/>
        <charset val="1"/>
      </rPr>
      <t xml:space="preserve"> ● Charges constatées d'avance</t>
    </r>
  </si>
  <si>
    <t>Passif circulant</t>
  </si>
  <si>
    <r>
      <rPr>
        <b/>
        <sz val="11"/>
        <rFont val="Arial"/>
        <family val="2"/>
        <charset val="1"/>
      </rPr>
      <t xml:space="preserve">   </t>
    </r>
    <r>
      <rPr>
        <sz val="11"/>
        <rFont val="Arial"/>
        <family val="2"/>
        <charset val="1"/>
      </rPr>
      <t xml:space="preserve"> ● Dettes à court terme (&lt;1 an)</t>
    </r>
  </si>
  <si>
    <r>
      <rPr>
        <b/>
        <sz val="11"/>
        <rFont val="Arial"/>
        <family val="2"/>
        <charset val="1"/>
      </rPr>
      <t xml:space="preserve">   </t>
    </r>
    <r>
      <rPr>
        <sz val="11"/>
        <rFont val="Arial"/>
        <family val="2"/>
        <charset val="1"/>
      </rPr>
      <t xml:space="preserve"> ● Produits constatés d'avance</t>
    </r>
  </si>
  <si>
    <t>BFR (Besoin en Fonds de Roulement)</t>
  </si>
  <si>
    <t>TRESORERIE</t>
  </si>
  <si>
    <t xml:space="preserve">   ● Trésorerie Brute</t>
  </si>
  <si>
    <t xml:space="preserve">   ● Concours bancaires courants bruts</t>
  </si>
  <si>
    <t>Trésorerie (FR - BFR)</t>
  </si>
  <si>
    <t>La trésorerie correspond à la différence entre le cycle d'investissement et de financement; et le  cycle d'exploitation</t>
  </si>
  <si>
    <t>II - Principaux indicateurs Bilan</t>
  </si>
  <si>
    <t>Indicateurs</t>
  </si>
  <si>
    <t>Remarques</t>
  </si>
  <si>
    <r>
      <rPr>
        <b/>
        <sz val="11"/>
        <rFont val="Arial"/>
        <family val="2"/>
        <charset val="1"/>
      </rPr>
      <t xml:space="preserve">Niveau des fonds propres 
</t>
    </r>
    <r>
      <rPr>
        <sz val="9"/>
        <rFont val="Arial"/>
        <family val="2"/>
        <charset val="1"/>
      </rPr>
      <t>(fonds propres / total Passif)</t>
    </r>
  </si>
  <si>
    <r>
      <rPr>
        <b/>
        <sz val="11"/>
        <rFont val="Arial"/>
        <family val="2"/>
        <charset val="1"/>
      </rPr>
      <t xml:space="preserve">Fonds propres en nb de mois d'exploitation
</t>
    </r>
    <r>
      <rPr>
        <sz val="9"/>
        <rFont val="Arial"/>
        <family val="2"/>
        <charset val="1"/>
      </rPr>
      <t>(fonds propres / charges d'exploitation x 12 mois)</t>
    </r>
  </si>
  <si>
    <t>Cet indicateur doit être supérieur ou égal à 3 mois. Au-delà de 9 mois, la structure dispose de fonds propres très élevés et doit peut-être investir ?</t>
  </si>
  <si>
    <r>
      <rPr>
        <b/>
        <sz val="11"/>
        <rFont val="Arial"/>
        <family val="2"/>
        <charset val="1"/>
      </rPr>
      <t xml:space="preserve">Equilibre de la structure financière
</t>
    </r>
    <r>
      <rPr>
        <sz val="10"/>
        <rFont val="Arial"/>
        <family val="2"/>
        <charset val="1"/>
      </rPr>
      <t>(dettes financières &gt;1an / ressources durables)</t>
    </r>
  </si>
  <si>
    <t>Selon la norme, les dettes à long terme ne devraient pas être supérieures à 50% des ressources durables</t>
  </si>
  <si>
    <r>
      <rPr>
        <b/>
        <sz val="11"/>
        <rFont val="Arial"/>
        <family val="2"/>
        <charset val="1"/>
      </rPr>
      <t xml:space="preserve">Solvabilité à court terme
</t>
    </r>
    <r>
      <rPr>
        <sz val="9"/>
        <rFont val="Arial"/>
        <family val="2"/>
        <charset val="1"/>
      </rPr>
      <t xml:space="preserve"> (créances+disponibilités+VMP+charges constatées d'avance)/(dettes &lt;1an+ produits constatés d'avance)</t>
    </r>
  </si>
  <si>
    <t>La trésorerie et les créances de l'organisme doivent être supérieures aux dettes vis-à-vis des fournisseurs, du fisc, des organismes sociaux. Si ce n'est pas le cas, il faut accroître la trésorerie et revoir les délais de paiement</t>
  </si>
  <si>
    <r>
      <rPr>
        <b/>
        <sz val="11"/>
        <rFont val="Arial"/>
        <family val="2"/>
        <charset val="1"/>
      </rPr>
      <t>Trésorerie en nb mois d'exploitation</t>
    </r>
    <r>
      <rPr>
        <sz val="9"/>
        <rFont val="Arial"/>
        <family val="2"/>
        <charset val="1"/>
      </rPr>
      <t xml:space="preserve"> (Valeurs mobilières de placement , disponibilités / charges d'exploitation X 12 mois)</t>
    </r>
  </si>
  <si>
    <t>Selon la période de l'année, il est préférable d'avoir une avance de trésorerie de 2 mois, pour régler les charges d'exploitation (salaires, charges sociales, charges externes…)</t>
  </si>
  <si>
    <t>III - Graphiques Composition du Bilan</t>
  </si>
  <si>
    <r>
      <rPr>
        <b/>
        <u/>
        <sz val="14"/>
        <rFont val="Arial"/>
        <family val="2"/>
        <charset val="1"/>
      </rPr>
      <t xml:space="preserve">I- Compte de résultat </t>
    </r>
    <r>
      <rPr>
        <b/>
        <sz val="14"/>
        <rFont val="Arial"/>
        <family val="2"/>
        <charset val="1"/>
      </rPr>
      <t>(en K€)</t>
    </r>
  </si>
  <si>
    <t>% produits</t>
  </si>
  <si>
    <t>en K€</t>
  </si>
  <si>
    <t>en %</t>
  </si>
  <si>
    <t>Chiffre d'Affaires</t>
  </si>
  <si>
    <t>Production stockée ou immobilisée</t>
  </si>
  <si>
    <t>Subventions d'exploitation</t>
  </si>
  <si>
    <t xml:space="preserve">       ● dont Ville</t>
  </si>
  <si>
    <t>Reprises sur amortissements et provisions</t>
  </si>
  <si>
    <t>Autres produits</t>
  </si>
  <si>
    <t>Transferts de charges</t>
  </si>
  <si>
    <t>TOTAL PRODUITS EXPLOITATION</t>
  </si>
  <si>
    <t>Coût des prestations vendues</t>
  </si>
  <si>
    <t>Autres achats et charges externes</t>
  </si>
  <si>
    <t>Impôts et taxes</t>
  </si>
  <si>
    <t>Charges de personnel</t>
  </si>
  <si>
    <t>Dotations aux amortissements et provisions</t>
  </si>
  <si>
    <t>Autres charges</t>
  </si>
  <si>
    <t>TOTAL CHARGES EXPLOITATION</t>
  </si>
  <si>
    <t>RESULTAT D'EXPLOITATION</t>
  </si>
  <si>
    <t>Produits financiers</t>
  </si>
  <si>
    <t>Charges financières</t>
  </si>
  <si>
    <t>RESULTAT FINANCIER</t>
  </si>
  <si>
    <t>RESULTAT COURANT AVANT IMPOTS</t>
  </si>
  <si>
    <t>Produits exceptionnels</t>
  </si>
  <si>
    <t>Charges exceptionnelles</t>
  </si>
  <si>
    <t>RESULTAT EXCEPTIONNEL</t>
  </si>
  <si>
    <t>Impôt sur les sociétés</t>
  </si>
  <si>
    <t>RESULTAT NET</t>
  </si>
  <si>
    <t>II - Principaux indicateurs Compte de Résultat</t>
  </si>
  <si>
    <t>Var.</t>
  </si>
  <si>
    <t>Si les subventions d'exploitation reçues par l'organisme sont supérieures à ses recettes propres, alors l'organisme est fortement "dépendant"</t>
  </si>
  <si>
    <r>
      <rPr>
        <b/>
        <sz val="11"/>
        <rFont val="Arial"/>
        <family val="2"/>
        <charset val="1"/>
      </rPr>
      <t xml:space="preserve">Dont poids subvention Ville      </t>
    </r>
    <r>
      <rPr>
        <sz val="11"/>
        <rFont val="Arial"/>
        <family val="2"/>
        <charset val="1"/>
      </rPr>
      <t>(Subventions VdG/produits exploit.)</t>
    </r>
  </si>
  <si>
    <t>Ce ratio permet de voir si la structure parvient à générer des ressources propres</t>
  </si>
  <si>
    <r>
      <rPr>
        <b/>
        <sz val="11"/>
        <rFont val="Arial"/>
        <family val="2"/>
        <charset val="1"/>
      </rPr>
      <t xml:space="preserve">Niveau des charges de personnel </t>
    </r>
    <r>
      <rPr>
        <sz val="10"/>
        <rFont val="Arial"/>
        <family val="2"/>
        <charset val="1"/>
      </rPr>
      <t>(salaires+charges sociales/produits exploit.)</t>
    </r>
  </si>
  <si>
    <t xml:space="preserve">Pour analyser la masse salariale : il faut alors la mettre en relation avec les effectifs et l'activité. </t>
  </si>
  <si>
    <r>
      <rPr>
        <b/>
        <sz val="11"/>
        <rFont val="Arial"/>
        <family val="2"/>
        <charset val="1"/>
      </rPr>
      <t xml:space="preserve">Poids des intérêts
</t>
    </r>
    <r>
      <rPr>
        <sz val="11"/>
        <rFont val="Arial"/>
        <family val="2"/>
        <charset val="1"/>
      </rPr>
      <t xml:space="preserve"> </t>
    </r>
    <r>
      <rPr>
        <sz val="10"/>
        <rFont val="Arial"/>
        <family val="2"/>
        <charset val="1"/>
      </rPr>
      <t>(intérêts d'emprunts/total des charges)</t>
    </r>
  </si>
  <si>
    <t>Si les intérêts sont &gt; à 5% du total des charges, l'endettement de la structure pèse particulièrement sur le résultat et doit donc être maîtrisé.</t>
  </si>
  <si>
    <t>Résultat net  (K€) *</t>
  </si>
  <si>
    <t xml:space="preserve">Il correspond à l'excédent (ou le déficit) total dégagé par l'association incluant l'exploitation, le financier et l'exceptionnel. </t>
  </si>
  <si>
    <t>Capacité d'autofinancement</t>
  </si>
  <si>
    <t xml:space="preserve">Une CAF positive qui s'améliore permet a priori à l'association de financer des investissements après remboursement des emprunts </t>
  </si>
  <si>
    <t>*   Pour une association, l'objectif est d'être à l'équilibre et de pouvoir financer à terme ses investissements.</t>
  </si>
  <si>
    <t xml:space="preserve"> Des résultats négatifs peuvent compromettre la structure car ils viennent diminuer les fonds propres. Si c'est le cas, il faut en trouver l'origine et voir si le déficit est conjoncturel ou structurel. </t>
  </si>
  <si>
    <t>Au niveau des produits d'exploitation :</t>
  </si>
  <si>
    <t>dont subventions totales</t>
  </si>
  <si>
    <t>dont recettes propres</t>
  </si>
  <si>
    <t>dont autres</t>
  </si>
  <si>
    <t>Les subventions totales varient de :</t>
  </si>
  <si>
    <t>Au niveau des charges d'exploitation :</t>
  </si>
  <si>
    <t>dont frais de personnel</t>
  </si>
  <si>
    <t>dont charges externes</t>
  </si>
  <si>
    <t>*Charges de personnel  : les salaires, indemnités, congés, charges sociales….</t>
  </si>
  <si>
    <t>*Charges externes : sous-traitance, loyers, entretien, frais communication,</t>
  </si>
  <si>
    <t xml:space="preserve">affranchissement, déplacements…
</t>
  </si>
  <si>
    <t>Composition du Résultat net :</t>
  </si>
  <si>
    <t>dont résultat d'exploitation:</t>
  </si>
  <si>
    <t>dont résultat financier :</t>
  </si>
  <si>
    <t>dont résultat exceptionnel :</t>
  </si>
  <si>
    <t>Il convient d'apprécier l'évolution sur trois années, des charges de personnel</t>
  </si>
  <si>
    <t>par rapport au reste des charges , ainsi qu'aux subventions.</t>
  </si>
  <si>
    <t xml:space="preserve">                                                  Service Contrôle de Gestion Externe</t>
  </si>
  <si>
    <t>Service Contrôle de Gestion Externe</t>
  </si>
  <si>
    <t>- fournitures livrées gratuitement, etc…</t>
  </si>
  <si>
    <t>- mise à disposition de locaux, fluides, personnels, matériels par les collectivités territoriales,</t>
  </si>
  <si>
    <t>- heures d'enseignement, d'animation, de secrétariat, de comptabilité,</t>
  </si>
  <si>
    <t xml:space="preserve">Il s'agit de faire apparaître les contributions volontaires en nature comme par exemple valoriser le travail des bénévoles, leurs apports en biens ou en services gratuits : </t>
  </si>
  <si>
    <t>80. Comptes spéciaux</t>
  </si>
  <si>
    <t xml:space="preserve">Ce poste permet de modifier l'allocation de certaines charges d'un exercice qui ne correspondent pas forcement aux coûts des ventes de cet exercice. </t>
  </si>
  <si>
    <t>79. Transferts de charges</t>
  </si>
  <si>
    <t>Il s'agit d'un correction comptable à apporter lorsque les charges provisionnées se sont finalement révélées supérieures à la réalité.</t>
  </si>
  <si>
    <t>78. Reprises sur amortissements et provisions</t>
  </si>
  <si>
    <t>Il s'agit des produits issus de certains événements de nature exceptionnelle qui ne rentrent pas dans l'exploitation courante de l'organisme : flux résultant d'événements passés, plus-value sur cessions d'immobilisations …</t>
  </si>
  <si>
    <t>77. Produits exceptionnels</t>
  </si>
  <si>
    <t>Produits qui trouvent leur origine dans la politique de financement et de placement de l'organisme (intérêts reçus, gains de change etc.).</t>
  </si>
  <si>
    <t>76. Produits financiers</t>
  </si>
  <si>
    <t>Il s'agit du total des produits liés à l'exercice de l'activité normale et courante de l'organisme.</t>
  </si>
  <si>
    <t>Produits d'exploitation</t>
  </si>
  <si>
    <t>Ex : cotisations des membres, collectes, dons, etc…</t>
  </si>
  <si>
    <t>75. Autres produits de gestion courante</t>
  </si>
  <si>
    <t>Appelées aussi subventions de fonctionnement : de l'Etat, des différentes collectivités territoriales....</t>
  </si>
  <si>
    <t>74. Subventions d'exploitation</t>
  </si>
  <si>
    <t>Elle représente les travaux faits par l'organisme pour lui-même. Elle est évaluée au prix de revient.</t>
  </si>
  <si>
    <t>72. Production immobilisée</t>
  </si>
  <si>
    <t>Elle représente l'accroissement des stocks de produits finis et en cours. Elle est évaluée au prix de revient.</t>
  </si>
  <si>
    <t>71. Production   stockée</t>
  </si>
  <si>
    <t>Il s'agit du chiffre d'affaires, du produit de la vente de prestations de services, de marchandises ou d'activités annexes.</t>
  </si>
  <si>
    <t>70. Production vendue</t>
  </si>
  <si>
    <t>PRODUITS</t>
  </si>
  <si>
    <t>Provision : constatation comptable d'un risque et d'une charge non encore effectifs à la clôture de l'exercice, mais qui sont probables et liés à des opérations engagées dans l'exercice.</t>
  </si>
  <si>
    <t>Amortissement : constatation comptable de la dépréciation de la valeur d'un bien immobilisé (mobilier, matériel, véhicule…) résultant de l'usage, du temps, du changement de technique ou de toute autre cause.</t>
  </si>
  <si>
    <t>68. Dotations aux amortissements et aux provisions</t>
  </si>
  <si>
    <t>67. Charges exceptionnelles</t>
  </si>
  <si>
    <t>Charges trouvant leur origine dans la politique de financement et de placement de l'organisme (intérêts et charges assimilés, pertes de change …).</t>
  </si>
  <si>
    <t>66. Charges financières</t>
  </si>
  <si>
    <t>Total des charges liées à l'exercice de l'activité normale et courante de l'organisme.</t>
  </si>
  <si>
    <t>Charges d'exploitation</t>
  </si>
  <si>
    <t>65. Autres charges de gestion courante</t>
  </si>
  <si>
    <t xml:space="preserve">Cela inclut les rémunérations du personnel et les charges sociales correspondantes. </t>
  </si>
  <si>
    <t>64. Charges de personnel</t>
  </si>
  <si>
    <t>Taxe sur les salaires, taxe d'apprentissage, participation des employeurs à la formation professionnelle continue, taxes foncières et d'habitation, droits d'enregistrement et de timbres, droits de mutation …</t>
  </si>
  <si>
    <t>63. Impôts et taxes</t>
  </si>
  <si>
    <t>Il s'agit du personnel intérimaire ou extérieur à l'organisme, des honoraires, frais d'actes, de publicité, de relations publiques, des frais de déplacements et de réceptions, des  frais postaux, téléphone, internet …</t>
  </si>
  <si>
    <t>62. Autres services extérieurs</t>
  </si>
  <si>
    <t>Il s'agit des charges locatives et de copropriété, d'entretien, de réparation, maintenance, de primes d'assurance, d'études et recherches, de documentation, des frais de colloques et séminaires. …</t>
  </si>
  <si>
    <t>61. Services extérieurs</t>
  </si>
  <si>
    <t>Cela correspond aux achats de matières consommables, fournitures, petit matériel (eau, électricité, gaz, produits d'entretien, fournitures de bureau, carburants, etc.).</t>
  </si>
  <si>
    <t xml:space="preserve">60. Achat </t>
  </si>
  <si>
    <t>Il s'agit des charges qui correspondent à des biens ou des services déjà payés lors de l'établissement des états financiers mais dont la fourniture ou la prestation n'interviendra qu'ultérieurement.</t>
  </si>
  <si>
    <t>486. Charges constatées d'avance</t>
  </si>
  <si>
    <t>C'est l'ensemble des actifs les plus liquides de l'organisme : compte de caisse et soldes disponibles sur comptes bancaires.</t>
  </si>
  <si>
    <t>53. Disponibilités (trésorerie)</t>
  </si>
  <si>
    <t>Il s'agit de titres financiers que l'organisme acquière avec ses excédents de trésorerie pour les rentabiliser, généralement à court terme.</t>
  </si>
  <si>
    <t>50. VMP (valeurs mobilières de placement)</t>
  </si>
  <si>
    <t xml:space="preserve">4. Créances d'exploitation </t>
  </si>
  <si>
    <t xml:space="preserve">Ils correspondent à des charges d'exploitation contractées, non encore consommées ou non encore vendues. </t>
  </si>
  <si>
    <t>3. Stocks</t>
  </si>
  <si>
    <t xml:space="preserve">Il est composé de tous les éléments d'actifs non durables (stocks, créances clients…) qui ont vocation à tourner au cours du cycle d'exploitation. </t>
  </si>
  <si>
    <t xml:space="preserve">Elles sont principalement constituées des titres de participation au capital d'autres entreprises. </t>
  </si>
  <si>
    <t>22. Immobilisations financières</t>
  </si>
  <si>
    <t>Actifs physiques destinés à être utilisés durablement par l'organisme comme moyens de production. Il peut s'agir de terrains (y compris les agencements et aménagements des terrains), les constructions, les installations techniques, les matériels et outillage etc...</t>
  </si>
  <si>
    <t>21. Immobilisations corporelles</t>
  </si>
  <si>
    <t>Actifs immatériels non financiers détenus par l'organisme à la clôture de l'exercice. Elles regroupent essentiellement les marques et les brevets.</t>
  </si>
  <si>
    <t>20. Immobilisations incorporelles</t>
  </si>
  <si>
    <t>Il représente les éléments, physiques ou non, nécessaires à l'exploitation mais ne disparaissant pas durant le cycle d'exploitation.</t>
  </si>
  <si>
    <t>Actif immobilisé</t>
  </si>
  <si>
    <t>Il s'agit des produits déjà perçus lors de l'établissement des états financiers sans que les prestations ou fournitures le justifiant n'aient été encore effectuées ou livrées.</t>
  </si>
  <si>
    <t>487. Produits constatés d'avance</t>
  </si>
  <si>
    <t xml:space="preserve">- les dettes issues de l'exploitation de l'organisme, représentant ses engagements envers les fournisseurs (après obtention de délais de paiement), le fisc, les organismes sociaux, … Il s'agit des dettes à court terme (moins d'1 an) destinées à financer les emplois à court terme. </t>
  </si>
  <si>
    <t>- les dettes financières obtenues auprès des établissements de crédit. Ce sont les dettes à long et moyen terme. Lorsque celles-ci sont supérieures à 1 an, elles sont considérées comme des ressources stables au même titre que les capitaux propres.</t>
  </si>
  <si>
    <t>Le bilan scinde les dettes en deux catégories :</t>
  </si>
  <si>
    <t>16. Dettes (Long Terme, Moyen Terme et Court Terme)</t>
  </si>
  <si>
    <t>Il s'agit de prélèvements sur les ressources destinées à couvrir des risques (litiges, garanties données, etc...) et des charges (pensions, grosses réparations, etc….) qui ne sont pas encore effectifs à la clôture de l'exercice, mais qui sont probables et liés à des opérations engagées dans l'exercice.</t>
  </si>
  <si>
    <t>15. Provisions pour risques et charges</t>
  </si>
  <si>
    <t>14. Provisions réglementées</t>
  </si>
  <si>
    <t>Elles sont destinées à financer l'acquisition d'immobilisations ou des activités à long terme. Exemples : Primes de développement régional, primes d'aménagement du territoire, subventions pour la création d'installation antipollution etc.</t>
  </si>
  <si>
    <t>13. Subventions d'investissement</t>
  </si>
  <si>
    <t>Il s'agit du résultat net de l'exercice en cours</t>
  </si>
  <si>
    <t>12. Résultat de l'exercice</t>
  </si>
  <si>
    <t>C'est le cumul des excédents et déficits des années antérieures non distribués ou non affectés en réserves.</t>
  </si>
  <si>
    <t>11. Report à nouveau</t>
  </si>
  <si>
    <t>Lorsque l'organisme a réalisé un résultat net positif au cours de l'année, il a la possibilité de mettre ses bénéfices en réserves.</t>
  </si>
  <si>
    <t>10. Réserves</t>
  </si>
  <si>
    <t>Il s'agit des fonds mis en commun par les membres d'une association (l'équivalent du capital social pour une entreprise).</t>
  </si>
  <si>
    <t>10. Fonds associatifs</t>
  </si>
  <si>
    <t>Ils constituent des ressources stables de l'organisme et déterminent "comptablement" ce que vaut l'organisme. Les capitaux propres sont constitués des ressources apportées par les membres de l'organisme (ex : fonds associatifs) et des profits qu'il génère à l'occasion de son activité (réserves et résultat) en partie.</t>
  </si>
  <si>
    <t>Lexique comptable</t>
  </si>
  <si>
    <t>Bilan</t>
  </si>
  <si>
    <t>Saisie des données</t>
  </si>
  <si>
    <t>Diagnostic du Bilan</t>
  </si>
  <si>
    <t>Compte de Résultat</t>
  </si>
  <si>
    <t>Diagnostic du Compte de Résultat</t>
  </si>
  <si>
    <t>Mode d’emploi – Diagnostic financier</t>
  </si>
  <si>
    <t>Contrôler que le bilan soit équilibré : TOTAL ACTIF = TOTAL PASSIF
Si ce n'est pas OK, c'est probablement à cause des arrondis, ajouter ou retrancher un € dans un des postes !</t>
  </si>
  <si>
    <t>- Analyser la composition du résultat :
Détecter si le résultat est un excédent ou une perte ; si le résultat est lié à l’activité ou à des évènements financiers ou exceptionnels.
Pour l’ensemble de ces contrôles, il est impératif de suivre l’évolution d’une année sur l’autre et d’observer la tendance : amélioration ou dégradation ?
Exemple : le résultat d’exploitation s’améliore entre N-1 et N, grâce à une hausse des produits (ex : diversification de l’activité) et une maîtrise des charges (ex : frais de personnel, charges externes)</t>
  </si>
  <si>
    <t>Préalable</t>
  </si>
  <si>
    <t>- S’assurer de la date de cloture comptable et que les documents ainsi récupérés sont les plus récents. Si besoin, réclamer les documents plus récents.</t>
  </si>
  <si>
    <t>Elles résultent de libéralités fiscales et ne sont pas liées à des pertes ou charges futures (elles ne constituent pas à proprement parler des provisions).</t>
  </si>
  <si>
    <t xml:space="preserve">Elles sont constituées des sommes dues par les clients, des subventions à recevoir, des cotisations non versées…. Elles apparaissent du fait d'un décalage temporel entre la constatation comptable du chiffre d'affaires et le mouvement de trésorerie correspondant. </t>
  </si>
  <si>
    <t>Il s'agit par exemple des cotisations, subventions de fonctionnement versées, frais sur créances irrécouvrables, redevances...</t>
  </si>
  <si>
    <t>-Veiller à afficher les feuilles masquées :  Se positionner sur l’onglet d’une feuille puis faire un clique droit souris « Afficher les feuilles »
- Afficher les 3 feuilles : Mode d’emploi, Ratios Bilan et Ratios Compte de Résultat</t>
  </si>
  <si>
    <t>-Récupérer les documents utiles lorsqu’ils existent (bilan et comptes détaillés de l’expert comptable, dernier prévisionnel à jour, rapport du commissaire aux comptes, rapport d’activité ou rapport moral…)</t>
  </si>
  <si>
    <t>-Vérifier la saisie de l’association en contrôlant avec les derniers comptes reçus
-Regarder la date de clôture des derniers comptes reçus. 
-Vérifier la saisie des années :  N-2 et N-1.</t>
  </si>
  <si>
    <r>
      <rPr>
        <b/>
        <u/>
        <sz val="10"/>
        <rFont val="Calibri"/>
        <family val="2"/>
      </rPr>
      <t>Onglet « Compte de résultat »</t>
    </r>
    <r>
      <rPr>
        <sz val="10"/>
        <rFont val="Calibri"/>
        <family val="2"/>
      </rPr>
      <t xml:space="preserve">
-Renseigner les champs en jaune pour les années N-2, N-1 et N.
-Vérifier la saisie  y compris les lignes du bas   65 : autres charges de gestion courante, 68 : dotations aux amortissements (charges), 78 : reprises sur amortissements et provision (produits), 79 : transferts de charge
-Dans les produits, vérifier la saisie des subventions par financeur : que l’on trouvera dans les détails du compte de résultat de l'expert comptable s'il existe (les réclamer à l’association si besoin).
-Vérifier que le résultat net obtenu soit conforme à celui figurant dans les comptes.
-Contrôler que les sous-totaux soient identiques à ceux des comptes 
-Si ce n'est pas OK, c'est probablement à cause des arrondis, ajouter ou retrancher un € dans un des postes ! 
-Juger de la tenue correcte de la comptabilité et l’établissement de budgets prévisionnels sincères et réalistes </t>
    </r>
  </si>
  <si>
    <r>
      <rPr>
        <b/>
        <u/>
        <sz val="10"/>
        <rFont val="Calibri"/>
        <family val="2"/>
      </rPr>
      <t>Onglet « Ratios Compte Résultat »</t>
    </r>
    <r>
      <rPr>
        <sz val="10"/>
        <rFont val="Calibri"/>
        <family val="2"/>
      </rPr>
      <t xml:space="preserve">
</t>
    </r>
    <r>
      <rPr>
        <b/>
        <sz val="10"/>
        <rFont val="Calibri"/>
        <family val="2"/>
      </rPr>
      <t xml:space="preserve">Analyser les produits : </t>
    </r>
    <r>
      <rPr>
        <sz val="10"/>
        <rFont val="Calibri"/>
        <family val="2"/>
      </rPr>
      <t xml:space="preserve">
-Analyser l’effort porté sur le développement des recettes propres : à vérifier à travers l’évolution du ratio recettes propres / total des produits d’exploitation ;
-Exemple : Les recettes propres représentent x% des produits (ventes produits, services location..). Les subventions représentent x% des produits totaux.
-Analyser le poids des subventions par rapport au total des produits d’exploitation, le poids de la subvention de la Ville par rapport au total des subventions et au total des produits d’exploitation
-Analyser le financement de la structure et du projet : il convient de vérifier les financeurs du porteur qui participent au fonctionnement de la structure, en distinguant notamment les financements d’origine publique, privée à but non lucratif voire privée à but lucratif. 
</t>
    </r>
    <r>
      <rPr>
        <b/>
        <sz val="10"/>
        <rFont val="Calibri"/>
        <family val="2"/>
      </rPr>
      <t xml:space="preserve">Analyser les charges : </t>
    </r>
    <r>
      <rPr>
        <sz val="10"/>
        <rFont val="Calibri"/>
        <family val="2"/>
      </rPr>
      <t xml:space="preserve">
x% des charges sont liées au personnel interne. x% : charges externes (sous-traitance, loyers, frais communication, affranchissement, déplacements…)</t>
    </r>
  </si>
  <si>
    <t>Prévisionnel ou réalisé</t>
  </si>
  <si>
    <t>2. Les valeurs de l'ACTIF sont saisies en net</t>
  </si>
  <si>
    <t>3. Vérifier que:  TOTAL ACTIF (total des emplois) = TOTAL PASSIF (total des ressources)</t>
  </si>
  <si>
    <t>4. En cas d'erreur vérifier sous-totaux par sous-totaux</t>
  </si>
  <si>
    <t>Ce ratio permet de situer la place de la Ville. parmi les différents subventionneurs</t>
  </si>
  <si>
    <t>Ce ratio permet de situer la place de la Ville. parmi l'ensemble des revenus de la structure</t>
  </si>
  <si>
    <t xml:space="preserve">Le besoin en fonds de roulement représente la différence entre les délais d'encaissements et de règlements. 
</t>
  </si>
  <si>
    <r>
      <rPr>
        <b/>
        <u/>
        <sz val="10"/>
        <rFont val="Calibri"/>
        <family val="2"/>
      </rPr>
      <t>Onglet « Bilan »</t>
    </r>
    <r>
      <rPr>
        <sz val="10"/>
        <rFont val="Calibri"/>
        <family val="2"/>
      </rPr>
      <t xml:space="preserve">
La saisie se fait en Euros dans les champs jaunes. : pour l’année N-2 et N-1.
Les champs de couleur bleue et rose se calculent automatiquement.
Attention, l’ordre des années (colonnes) est parfois inversé entre bilan &amp; matrice
La saisie des immobilisations se fait en Net et non en Brut.</t>
    </r>
  </si>
  <si>
    <t>Charges qui proviennent d'événements exceptionnels, c'est-à-dire non récurrents (ex : amendes, pénalités…)</t>
  </si>
  <si>
    <r>
      <rPr>
        <b/>
        <u/>
        <sz val="10"/>
        <rFont val="Calibri"/>
        <family val="2"/>
      </rPr>
      <t>Onglet « Ratios Bilan » </t>
    </r>
    <r>
      <rPr>
        <sz val="10"/>
        <rFont val="Calibri"/>
        <family val="2"/>
      </rPr>
      <t xml:space="preserve">
- </t>
    </r>
    <r>
      <rPr>
        <b/>
        <sz val="10"/>
        <rFont val="Calibri"/>
        <family val="2"/>
      </rPr>
      <t xml:space="preserve">Analyser le fonds de roulement </t>
    </r>
    <r>
      <rPr>
        <sz val="10"/>
        <rFont val="Calibri"/>
        <family val="2"/>
      </rPr>
      <t>(FR) : 
Regarder si le FR est positif (ligne 26)
Regarder si les fonds propres (ligne 12) à sont supérieurs au seuil de sécurité des 20% .  Observer les réserves ou le report à nouveau : si positifs : il s’agit d’excédents antérieurs accumulés. 
Si négatifs : il s’agit de déficits antérieurs accumulés. 
Des fonds propres négatifs sont le signe d'une très grande fragilité de la situation financière. Ils peuvent mettre en péril l'association
-</t>
    </r>
    <r>
      <rPr>
        <b/>
        <sz val="10"/>
        <rFont val="Calibri"/>
        <family val="2"/>
      </rPr>
      <t xml:space="preserve"> Analyser le Besoin en Fonds de Roulement</t>
    </r>
    <r>
      <rPr>
        <sz val="10"/>
        <rFont val="Calibri"/>
        <family val="2"/>
      </rPr>
      <t xml:space="preserve"> (BFR ligne 34) :  va dépendre de l’activité de l’association
Un BFR positif est un besoin de trésorerie, la structure a besoin de financer son activité, par d'autres ressources (le fond de roulement, découvert…). 
S'il est négatif, ses ressources d'activité couvrent les charges d'activité, elle n’a pas besoin de plus pour financer son activité, elle a même des ressources (ex les clients payent comptant et les fournisseurs sont payés à 2 ou 3 mois).Un BFR négatif a un impact positif sur la trésorerie.
-Regarder la solvabilité  (ligne 47) : Si la solvabilité est supérieure à 100%, cela signifie que l’association peut faire face à ses engagements, grâce à ses actifs (court terme).
</t>
    </r>
    <r>
      <rPr>
        <b/>
        <sz val="10"/>
        <rFont val="Calibri"/>
        <family val="2"/>
      </rPr>
      <t>- Analyser la trésorerie</t>
    </r>
    <r>
      <rPr>
        <sz val="10"/>
        <rFont val="Calibri"/>
        <family val="2"/>
      </rPr>
      <t> (ligne 38)
La structure dispose t’elle d'une trésorerie suffisante pour payer 3 mois d'exploitation  (ligne 48) ?
Au delà de 4 mois, il convient de s’interroger sur l’utilité d’un excédent de trésorerie. Attention cependant à la date de clôture du dernier bilan. La situation a pu évoluer depuis. 
Si besoin, demander à la structure une situation de trésorerie plus récente ou plan prévisionnel mensuel de trésorerie.</t>
    </r>
  </si>
  <si>
    <t>Il convient ici d'apprécier le niveau de trésorerie et de voir si elle est issue du Fonds de Roulement ou du Besoin en Fonds de roulement.</t>
  </si>
  <si>
    <t>Un Besoin en Fonds de roulement (BFR) négatif constitue une ressource = un impact positif sur la trésorerie. 
Un BFR négatif constitue un besoin de trésorerie.</t>
  </si>
  <si>
    <t xml:space="preserve"> - Aide en nature</t>
  </si>
  <si>
    <r>
      <t>Niveau d'engagement de la Ville</t>
    </r>
    <r>
      <rPr>
        <b/>
        <sz val="10"/>
        <rFont val="Arial"/>
        <family val="2"/>
      </rPr>
      <t xml:space="preserve"> </t>
    </r>
    <r>
      <rPr>
        <sz val="10"/>
        <rFont val="Arial"/>
        <family val="2"/>
      </rPr>
      <t>(subventions VdG/ensemble subventions)</t>
    </r>
  </si>
  <si>
    <r>
      <t xml:space="preserve">Niveau des ressources propres 
</t>
    </r>
    <r>
      <rPr>
        <sz val="10"/>
        <rFont val="Arial"/>
        <family val="2"/>
      </rPr>
      <t>(chiffre d'affaires+autres produits/ produits exploitation)</t>
    </r>
  </si>
  <si>
    <t>Cet indicateur doit être supérieur ou égal à 20%. En cas de fonds propres négatifs, la pérennité de l'organisme est fortement compromise.</t>
  </si>
  <si>
    <r>
      <t xml:space="preserve">Dépendance par rapport aux subventions </t>
    </r>
    <r>
      <rPr>
        <sz val="10"/>
        <rFont val="Arial"/>
        <family val="2"/>
        <charset val="1"/>
      </rPr>
      <t>(subventions/produits)</t>
    </r>
  </si>
  <si>
    <t>des produits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</si>
</sst>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dd/mm/yy;@"/>
    <numFmt numFmtId="165" formatCode="#,##0,;\-#,##0,"/>
    <numFmt numFmtId="166" formatCode="0\ %"/>
    <numFmt numFmtId="167" formatCode="0.0"/>
    <numFmt numFmtId="168" formatCode="#,###.00"/>
    <numFmt numFmtId="169" formatCode="_-* #,##0.00\ [$€-1]_-;\-* #,##0.00\ [$€-1]_-;_-* \-??\ [$€-1]_-"/>
    <numFmt numFmtId="170" formatCode="0.0%"/>
    <numFmt numFmtId="171" formatCode="0.00\ %"/>
    <numFmt numFmtId="172" formatCode="\+#,##0,;\-#,##0,"/>
  </numFmts>
  <fonts count="61">
    <font>
      <sz val="10"/>
      <name val="Arial"/>
      <charset val="1"/>
    </font>
    <font>
      <b/>
      <u val="double"/>
      <sz val="12"/>
      <name val="Arial"/>
      <family val="2"/>
      <charset val="1"/>
    </font>
    <font>
      <b/>
      <sz val="14"/>
      <name val="Arial"/>
      <family val="2"/>
      <charset val="1"/>
    </font>
    <font>
      <b/>
      <sz val="12"/>
      <color rgb="FFFFFFFF"/>
      <name val="Arial"/>
      <family val="2"/>
      <charset val="1"/>
    </font>
    <font>
      <b/>
      <sz val="12"/>
      <name val="Arial"/>
      <family val="2"/>
      <charset val="1"/>
    </font>
    <font>
      <b/>
      <sz val="11"/>
      <name val="Arial"/>
      <family val="2"/>
      <charset val="1"/>
    </font>
    <font>
      <b/>
      <sz val="12"/>
      <color rgb="FFFFFF00"/>
      <name val="Arial"/>
      <family val="2"/>
      <charset val="1"/>
    </font>
    <font>
      <b/>
      <i/>
      <sz val="11"/>
      <name val="Arial"/>
      <family val="2"/>
      <charset val="1"/>
    </font>
    <font>
      <b/>
      <sz val="10"/>
      <name val="Arial"/>
      <family val="2"/>
      <charset val="1"/>
    </font>
    <font>
      <b/>
      <sz val="18"/>
      <name val="Arial"/>
      <family val="2"/>
      <charset val="1"/>
    </font>
    <font>
      <b/>
      <sz val="11"/>
      <name val="Times New Roman"/>
      <family val="1"/>
      <charset val="1"/>
    </font>
    <font>
      <b/>
      <i/>
      <sz val="12"/>
      <name val="Arial"/>
      <family val="2"/>
      <charset val="1"/>
    </font>
    <font>
      <b/>
      <sz val="12"/>
      <color rgb="FF000000"/>
      <name val="Arial"/>
      <family val="2"/>
      <charset val="1"/>
    </font>
    <font>
      <sz val="12"/>
      <name val="Arial"/>
      <family val="2"/>
      <charset val="1"/>
    </font>
    <font>
      <sz val="10"/>
      <name val="Arial"/>
      <family val="2"/>
      <charset val="1"/>
    </font>
    <font>
      <b/>
      <u/>
      <sz val="10"/>
      <name val="Arial"/>
      <family val="2"/>
      <charset val="1"/>
    </font>
    <font>
      <sz val="11"/>
      <name val="Arial"/>
      <family val="2"/>
      <charset val="1"/>
    </font>
    <font>
      <sz val="9"/>
      <name val="Arial"/>
      <family val="2"/>
      <charset val="1"/>
    </font>
    <font>
      <sz val="8"/>
      <name val="Arial"/>
      <family val="2"/>
      <charset val="1"/>
    </font>
    <font>
      <b/>
      <sz val="10"/>
      <name val="Arial"/>
      <family val="2"/>
    </font>
    <font>
      <b/>
      <sz val="9"/>
      <name val="Arial"/>
      <family val="2"/>
      <charset val="1"/>
    </font>
    <font>
      <b/>
      <sz val="16"/>
      <name val="Arial"/>
      <family val="2"/>
      <charset val="1"/>
    </font>
    <font>
      <sz val="16"/>
      <name val="Arial"/>
      <family val="2"/>
      <charset val="1"/>
    </font>
    <font>
      <b/>
      <u/>
      <sz val="14"/>
      <name val="Arial"/>
      <family val="2"/>
      <charset val="1"/>
    </font>
    <font>
      <b/>
      <sz val="14"/>
      <name val="Wingdings"/>
      <charset val="2"/>
    </font>
    <font>
      <b/>
      <sz val="11"/>
      <color rgb="FF000000"/>
      <name val="Arial"/>
      <family val="2"/>
      <charset val="1"/>
    </font>
    <font>
      <b/>
      <sz val="14"/>
      <color rgb="FF000000"/>
      <name val="Wingdings"/>
      <charset val="2"/>
    </font>
    <font>
      <sz val="14"/>
      <name val="Wingdings"/>
      <charset val="2"/>
    </font>
    <font>
      <sz val="11"/>
      <color rgb="FF000000"/>
      <name val="Arial"/>
      <family val="2"/>
      <charset val="1"/>
    </font>
    <font>
      <sz val="14"/>
      <color rgb="FF000000"/>
      <name val="Wingdings"/>
      <charset val="2"/>
    </font>
    <font>
      <sz val="20"/>
      <name val="Arial"/>
      <family val="2"/>
      <charset val="1"/>
    </font>
    <font>
      <b/>
      <sz val="10"/>
      <name val="Geneva"/>
      <charset val="1"/>
    </font>
    <font>
      <b/>
      <sz val="12"/>
      <name val="Geneva"/>
      <charset val="1"/>
    </font>
    <font>
      <b/>
      <sz val="11"/>
      <name val="Wingdings"/>
      <charset val="2"/>
    </font>
    <font>
      <b/>
      <sz val="11"/>
      <color rgb="FFFFFFFF"/>
      <name val="Arial"/>
      <family val="2"/>
      <charset val="1"/>
    </font>
    <font>
      <b/>
      <i/>
      <sz val="10"/>
      <name val="Arial"/>
      <family val="2"/>
      <charset val="1"/>
    </font>
    <font>
      <i/>
      <sz val="10"/>
      <name val="Arial"/>
      <family val="2"/>
      <charset val="1"/>
    </font>
    <font>
      <sz val="11"/>
      <name val="Wingdings"/>
      <charset val="2"/>
    </font>
    <font>
      <i/>
      <sz val="11"/>
      <name val="Arial"/>
      <family val="2"/>
      <charset val="1"/>
    </font>
    <font>
      <sz val="14"/>
      <name val="Arial"/>
      <family val="2"/>
      <charset val="1"/>
    </font>
    <font>
      <sz val="11"/>
      <color rgb="FFFFFFFF"/>
      <name val="Arial"/>
      <family val="2"/>
      <charset val="1"/>
    </font>
    <font>
      <b/>
      <u/>
      <sz val="12"/>
      <name val="Arial"/>
      <family val="2"/>
      <charset val="1"/>
    </font>
    <font>
      <sz val="10"/>
      <name val="Arial"/>
      <family val="2"/>
    </font>
    <font>
      <sz val="10"/>
      <color rgb="FF00B050"/>
      <name val="Arial"/>
      <family val="2"/>
      <charset val="1"/>
    </font>
    <font>
      <b/>
      <sz val="10"/>
      <name val="Arial"/>
      <family val="2"/>
    </font>
    <font>
      <sz val="10"/>
      <name val="Arial"/>
      <family val="2"/>
    </font>
    <font>
      <sz val="10"/>
      <name val="Calibri"/>
      <family val="2"/>
    </font>
    <font>
      <b/>
      <sz val="12"/>
      <name val="Arial"/>
      <family val="2"/>
    </font>
    <font>
      <sz val="11"/>
      <name val="Calibri"/>
      <family val="2"/>
    </font>
    <font>
      <b/>
      <sz val="11"/>
      <name val="Calibri"/>
      <family val="2"/>
    </font>
    <font>
      <sz val="16"/>
      <name val="Arial"/>
      <family val="2"/>
    </font>
    <font>
      <b/>
      <sz val="16"/>
      <name val="Calibri"/>
      <family val="2"/>
    </font>
    <font>
      <b/>
      <sz val="16"/>
      <name val="Arial"/>
      <family val="2"/>
    </font>
    <font>
      <sz val="22"/>
      <name val="Calibri"/>
      <family val="2"/>
    </font>
    <font>
      <b/>
      <sz val="22"/>
      <name val="Calibri"/>
      <family val="2"/>
    </font>
    <font>
      <b/>
      <sz val="10"/>
      <name val="Calibri"/>
      <family val="2"/>
    </font>
    <font>
      <b/>
      <u/>
      <sz val="10"/>
      <name val="Calibri"/>
      <family val="2"/>
    </font>
    <font>
      <sz val="22"/>
      <name val="Arial"/>
      <family val="2"/>
    </font>
    <font>
      <b/>
      <sz val="22"/>
      <name val="Arial"/>
      <family val="2"/>
    </font>
    <font>
      <b/>
      <sz val="18"/>
      <name val="Arial"/>
      <family val="2"/>
    </font>
    <font>
      <b/>
      <sz val="8"/>
      <name val="Arial"/>
      <family val="2"/>
      <charset val="1"/>
    </font>
  </fonts>
  <fills count="12">
    <fill>
      <patternFill patternType="none"/>
    </fill>
    <fill>
      <patternFill patternType="gray125"/>
    </fill>
    <fill>
      <patternFill patternType="solid">
        <fgColor rgb="FFFFFF99"/>
        <bgColor rgb="FFFFFFCC"/>
      </patternFill>
    </fill>
    <fill>
      <patternFill patternType="solid">
        <fgColor rgb="FFCCFFCC"/>
        <bgColor rgb="FFCCFFFF"/>
      </patternFill>
    </fill>
    <fill>
      <patternFill patternType="solid">
        <fgColor rgb="FFFFFFFF"/>
        <bgColor rgb="FFFFFFCC"/>
      </patternFill>
    </fill>
    <fill>
      <patternFill patternType="solid">
        <fgColor rgb="FFC0C0C0"/>
        <bgColor rgb="FFCCCCFF"/>
      </patternFill>
    </fill>
    <fill>
      <patternFill patternType="solid">
        <fgColor rgb="FFCCFFFF"/>
        <bgColor rgb="FFCCFFFF"/>
      </patternFill>
    </fill>
    <fill>
      <patternFill patternType="solid">
        <fgColor rgb="FFFF99CC"/>
        <bgColor rgb="FFCC99FF"/>
      </patternFill>
    </fill>
    <fill>
      <patternFill patternType="solid">
        <fgColor rgb="FFE6E6E6"/>
        <bgColor indexed="64"/>
      </patternFill>
    </fill>
    <fill>
      <patternFill patternType="solid">
        <fgColor theme="0" tint="-0.14999847407452621"/>
        <bgColor rgb="FFCCCCFF"/>
      </patternFill>
    </fill>
    <fill>
      <patternFill patternType="solid">
        <fgColor theme="0" tint="-0.14999847407452621"/>
        <bgColor rgb="FFFFFFCC"/>
      </patternFill>
    </fill>
    <fill>
      <patternFill patternType="solid">
        <fgColor theme="0" tint="-0.14999847407452621"/>
        <bgColor indexed="64"/>
      </patternFill>
    </fill>
  </fills>
  <borders count="5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thin">
        <color auto="1"/>
      </right>
      <top/>
      <bottom style="medium">
        <color auto="1"/>
      </bottom>
      <diagonal/>
    </border>
    <border>
      <left/>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auto="1"/>
      </right>
      <top style="medium">
        <color indexed="64"/>
      </top>
      <bottom/>
      <diagonal/>
    </border>
    <border>
      <left style="medium">
        <color indexed="64"/>
      </left>
      <right style="medium">
        <color auto="1"/>
      </right>
      <top/>
      <bottom/>
      <diagonal/>
    </border>
    <border>
      <left style="medium">
        <color auto="1"/>
      </left>
      <right style="thin">
        <color auto="1"/>
      </right>
      <top style="medium">
        <color auto="1"/>
      </top>
      <bottom/>
      <diagonal/>
    </border>
    <border>
      <left style="thin">
        <color indexed="64"/>
      </left>
      <right style="medium">
        <color indexed="64"/>
      </right>
      <top style="medium">
        <color indexed="64"/>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auto="1"/>
      </right>
      <top style="medium">
        <color auto="1"/>
      </top>
      <bottom style="medium">
        <color auto="1"/>
      </bottom>
      <diagonal/>
    </border>
  </borders>
  <cellStyleXfs count="3">
    <xf numFmtId="0" fontId="0" fillId="0" borderId="0"/>
    <xf numFmtId="166" fontId="42" fillId="0" borderId="0" applyBorder="0" applyProtection="0"/>
    <xf numFmtId="0" fontId="42" fillId="0" borderId="0"/>
  </cellStyleXfs>
  <cellXfs count="457">
    <xf numFmtId="0" fontId="0" fillId="0" borderId="0" xfId="0"/>
    <xf numFmtId="0" fontId="1" fillId="0" borderId="0" xfId="0" applyFont="1" applyAlignment="1">
      <alignment horizontal="center"/>
    </xf>
    <xf numFmtId="0" fontId="2" fillId="0" borderId="0" xfId="0" applyFont="1" applyAlignment="1">
      <alignment horizontal="left" vertical="top"/>
    </xf>
    <xf numFmtId="0" fontId="3" fillId="0" borderId="0" xfId="0" applyFont="1" applyBorder="1" applyAlignment="1">
      <alignment horizontal="center" vertical="center" wrapText="1"/>
    </xf>
    <xf numFmtId="0" fontId="4" fillId="0" borderId="2" xfId="0" applyFont="1" applyBorder="1" applyAlignment="1">
      <alignment horizontal="center" vertical="center" wrapText="1"/>
    </xf>
    <xf numFmtId="164" fontId="5" fillId="2" borderId="2" xfId="0" applyNumberFormat="1" applyFont="1" applyFill="1" applyBorder="1" applyAlignment="1" applyProtection="1">
      <alignment horizontal="center" vertical="center" wrapText="1"/>
      <protection locked="0"/>
    </xf>
    <xf numFmtId="0" fontId="6" fillId="0" borderId="0" xfId="0" applyFont="1" applyBorder="1" applyAlignment="1" applyProtection="1">
      <protection locked="0"/>
    </xf>
    <xf numFmtId="0" fontId="6" fillId="0" borderId="0" xfId="0" applyFont="1" applyAlignment="1" applyProtection="1">
      <protection locked="0"/>
    </xf>
    <xf numFmtId="0" fontId="7" fillId="0" borderId="0" xfId="0" applyFont="1" applyAlignment="1">
      <alignment vertical="center" wrapText="1"/>
    </xf>
    <xf numFmtId="0" fontId="8" fillId="0" borderId="0" xfId="0" applyFont="1"/>
    <xf numFmtId="0" fontId="7" fillId="0" borderId="1" xfId="0" applyFont="1" applyBorder="1" applyAlignment="1">
      <alignment vertical="center" wrapText="1"/>
    </xf>
    <xf numFmtId="0" fontId="11" fillId="0" borderId="1" xfId="0" applyFont="1" applyBorder="1" applyAlignment="1">
      <alignment vertical="center"/>
    </xf>
    <xf numFmtId="0" fontId="13" fillId="4" borderId="0" xfId="0" applyFont="1" applyFill="1"/>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2" xfId="0" applyFont="1" applyFill="1" applyBorder="1" applyAlignment="1">
      <alignment horizontal="center" vertical="center"/>
    </xf>
    <xf numFmtId="0" fontId="0" fillId="0" borderId="0" xfId="0" applyAlignment="1">
      <alignment vertical="center"/>
    </xf>
    <xf numFmtId="0" fontId="8" fillId="6" borderId="5" xfId="0" applyFont="1" applyFill="1" applyBorder="1" applyAlignment="1">
      <alignment horizontal="left"/>
    </xf>
    <xf numFmtId="0" fontId="8" fillId="6" borderId="6" xfId="0" applyFont="1" applyFill="1" applyBorder="1" applyAlignment="1">
      <alignment horizontal="left"/>
    </xf>
    <xf numFmtId="3" fontId="8" fillId="6" borderId="2" xfId="0" applyNumberFormat="1" applyFont="1" applyFill="1" applyBorder="1" applyAlignment="1" applyProtection="1">
      <alignment horizontal="right"/>
    </xf>
    <xf numFmtId="0" fontId="8" fillId="6" borderId="5" xfId="0" applyFont="1" applyFill="1" applyBorder="1" applyAlignment="1"/>
    <xf numFmtId="0" fontId="8" fillId="6" borderId="7" xfId="0" applyFont="1" applyFill="1" applyBorder="1" applyAlignment="1"/>
    <xf numFmtId="3" fontId="8" fillId="6" borderId="2" xfId="0" applyNumberFormat="1" applyFont="1" applyFill="1" applyBorder="1" applyAlignment="1">
      <alignment horizontal="right"/>
    </xf>
    <xf numFmtId="0" fontId="0" fillId="0" borderId="8" xfId="0" applyFont="1" applyBorder="1" applyAlignment="1">
      <alignment horizontal="left"/>
    </xf>
    <xf numFmtId="0" fontId="0" fillId="0" borderId="0" xfId="0" applyBorder="1" applyAlignment="1">
      <alignment horizontal="left"/>
    </xf>
    <xf numFmtId="3" fontId="0" fillId="2" borderId="2" xfId="0" applyNumberFormat="1" applyFill="1" applyBorder="1" applyAlignment="1" applyProtection="1">
      <alignment horizontal="right"/>
      <protection locked="0"/>
    </xf>
    <xf numFmtId="3" fontId="0" fillId="2" borderId="4" xfId="0" applyNumberFormat="1" applyFill="1" applyBorder="1" applyAlignment="1" applyProtection="1">
      <alignment horizontal="right"/>
      <protection locked="0"/>
    </xf>
    <xf numFmtId="0" fontId="14" fillId="0" borderId="8" xfId="0" applyFont="1" applyBorder="1" applyAlignment="1">
      <alignment horizontal="left"/>
    </xf>
    <xf numFmtId="0" fontId="0" fillId="0" borderId="9" xfId="0" applyBorder="1" applyAlignment="1">
      <alignment horizontal="left"/>
    </xf>
    <xf numFmtId="0" fontId="0" fillId="0" borderId="1" xfId="0" applyBorder="1" applyAlignment="1">
      <alignment horizontal="left"/>
    </xf>
    <xf numFmtId="0" fontId="0" fillId="0" borderId="5" xfId="0" applyFont="1" applyBorder="1" applyAlignment="1">
      <alignment horizontal="left"/>
    </xf>
    <xf numFmtId="0" fontId="0" fillId="0" borderId="6" xfId="0" applyBorder="1" applyAlignment="1">
      <alignment horizontal="left"/>
    </xf>
    <xf numFmtId="3" fontId="0" fillId="2" borderId="3" xfId="0" applyNumberFormat="1" applyFill="1" applyBorder="1" applyAlignment="1" applyProtection="1">
      <alignment horizontal="right"/>
      <protection locked="0"/>
    </xf>
    <xf numFmtId="0" fontId="0" fillId="0" borderId="9" xfId="0" applyBorder="1" applyAlignment="1">
      <alignment horizontal="center"/>
    </xf>
    <xf numFmtId="0" fontId="0" fillId="0" borderId="1" xfId="0" applyBorder="1" applyAlignment="1">
      <alignment horizontal="center"/>
    </xf>
    <xf numFmtId="0" fontId="8" fillId="7" borderId="5" xfId="0" applyFont="1" applyFill="1" applyBorder="1" applyAlignment="1">
      <alignment horizontal="left"/>
    </xf>
    <xf numFmtId="0" fontId="8" fillId="7" borderId="6" xfId="0" applyFont="1" applyFill="1" applyBorder="1" applyAlignment="1">
      <alignment horizontal="left"/>
    </xf>
    <xf numFmtId="3" fontId="8" fillId="7" borderId="2" xfId="0" applyNumberFormat="1" applyFont="1" applyFill="1" applyBorder="1" applyAlignment="1">
      <alignment horizontal="right"/>
    </xf>
    <xf numFmtId="3" fontId="8" fillId="7" borderId="4" xfId="0" applyNumberFormat="1" applyFont="1" applyFill="1" applyBorder="1" applyAlignment="1">
      <alignment horizontal="right"/>
    </xf>
    <xf numFmtId="0" fontId="0" fillId="0" borderId="10" xfId="0" applyFont="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8" xfId="0" applyBorder="1" applyAlignment="1">
      <alignment horizontal="center"/>
    </xf>
    <xf numFmtId="0" fontId="0" fillId="0" borderId="0" xfId="0" applyBorder="1" applyAlignment="1">
      <alignment horizontal="center"/>
    </xf>
    <xf numFmtId="0" fontId="0" fillId="0" borderId="0" xfId="0" applyBorder="1"/>
    <xf numFmtId="0" fontId="14" fillId="0" borderId="9" xfId="0" applyFont="1" applyBorder="1" applyAlignment="1">
      <alignment horizontal="left"/>
    </xf>
    <xf numFmtId="0" fontId="0" fillId="0" borderId="13" xfId="0" applyBorder="1" applyAlignment="1">
      <alignment horizontal="left"/>
    </xf>
    <xf numFmtId="0" fontId="8" fillId="7" borderId="2" xfId="0" applyFont="1" applyFill="1" applyBorder="1" applyAlignment="1">
      <alignment horizontal="left"/>
    </xf>
    <xf numFmtId="3" fontId="8" fillId="7" borderId="5" xfId="0" applyNumberFormat="1" applyFont="1" applyFill="1" applyBorder="1" applyAlignment="1">
      <alignment horizontal="right"/>
    </xf>
    <xf numFmtId="0" fontId="8" fillId="7" borderId="2" xfId="0" applyFont="1" applyFill="1" applyBorder="1" applyAlignment="1">
      <alignment horizontal="left" vertical="center"/>
    </xf>
    <xf numFmtId="0" fontId="8" fillId="7" borderId="5" xfId="0" applyFont="1" applyFill="1" applyBorder="1" applyAlignment="1">
      <alignment horizontal="center" vertical="center"/>
    </xf>
    <xf numFmtId="3" fontId="8" fillId="7" borderId="5" xfId="0" applyNumberFormat="1" applyFont="1" applyFill="1" applyBorder="1" applyAlignment="1">
      <alignment horizontal="right" vertical="center"/>
    </xf>
    <xf numFmtId="3" fontId="8" fillId="7" borderId="2" xfId="0" applyNumberFormat="1" applyFont="1" applyFill="1" applyBorder="1" applyAlignment="1">
      <alignment horizontal="right" vertical="center"/>
    </xf>
    <xf numFmtId="0" fontId="8" fillId="7" borderId="7" xfId="0" applyFont="1" applyFill="1" applyBorder="1" applyAlignment="1">
      <alignment horizontal="center" vertical="center"/>
    </xf>
    <xf numFmtId="3" fontId="0" fillId="0" borderId="0" xfId="0" applyNumberFormat="1" applyAlignment="1">
      <alignment vertical="center"/>
    </xf>
    <xf numFmtId="0" fontId="8" fillId="0" borderId="0" xfId="0" applyFont="1" applyAlignment="1">
      <alignment horizontal="center"/>
    </xf>
    <xf numFmtId="3" fontId="0" fillId="0" borderId="0" xfId="0" applyNumberFormat="1"/>
    <xf numFmtId="0" fontId="4" fillId="0" borderId="2" xfId="0" applyFont="1" applyBorder="1" applyAlignment="1">
      <alignment vertical="center"/>
    </xf>
    <xf numFmtId="164" fontId="5" fillId="4" borderId="2" xfId="0" applyNumberFormat="1" applyFont="1" applyFill="1" applyBorder="1" applyAlignment="1" applyProtection="1">
      <alignment horizontal="center" vertical="center"/>
      <protection locked="0"/>
    </xf>
    <xf numFmtId="0" fontId="2" fillId="0" borderId="5" xfId="0" applyFont="1" applyBorder="1"/>
    <xf numFmtId="164" fontId="8" fillId="4" borderId="6" xfId="0" applyNumberFormat="1" applyFont="1" applyFill="1" applyBorder="1" applyAlignment="1" applyProtection="1">
      <alignment horizontal="center"/>
      <protection locked="0"/>
    </xf>
    <xf numFmtId="0" fontId="4" fillId="0" borderId="6" xfId="0" applyFont="1" applyBorder="1" applyAlignment="1">
      <alignment horizontal="center"/>
    </xf>
    <xf numFmtId="0" fontId="2" fillId="4" borderId="6" xfId="0" applyFont="1" applyFill="1" applyBorder="1" applyAlignment="1">
      <alignment horizontal="center"/>
    </xf>
    <xf numFmtId="0" fontId="0" fillId="0" borderId="14" xfId="0" applyBorder="1"/>
    <xf numFmtId="0" fontId="0" fillId="0" borderId="14" xfId="0" applyBorder="1" applyAlignment="1">
      <alignment vertical="center"/>
    </xf>
    <xf numFmtId="0" fontId="5" fillId="5" borderId="16" xfId="0" applyFont="1" applyFill="1" applyBorder="1" applyAlignment="1">
      <alignment horizontal="center" vertical="center"/>
    </xf>
    <xf numFmtId="0" fontId="5" fillId="5" borderId="17" xfId="0" applyFont="1" applyFill="1" applyBorder="1" applyAlignment="1">
      <alignment horizontal="center" vertical="center"/>
    </xf>
    <xf numFmtId="0" fontId="16" fillId="0" borderId="0" xfId="0" applyFont="1" applyAlignment="1">
      <alignment vertical="center"/>
    </xf>
    <xf numFmtId="0" fontId="8" fillId="5" borderId="18" xfId="0" applyFont="1" applyFill="1" applyBorder="1" applyAlignment="1">
      <alignment horizontal="center" vertical="center" wrapText="1"/>
    </xf>
    <xf numFmtId="3" fontId="8" fillId="6" borderId="20" xfId="0" applyNumberFormat="1" applyFont="1" applyFill="1" applyBorder="1"/>
    <xf numFmtId="0" fontId="8" fillId="6" borderId="21" xfId="0" applyFont="1" applyFill="1" applyBorder="1" applyAlignment="1">
      <alignment wrapText="1"/>
    </xf>
    <xf numFmtId="3" fontId="0" fillId="2" borderId="3" xfId="0" applyNumberFormat="1" applyFill="1" applyBorder="1" applyProtection="1">
      <protection locked="0"/>
    </xf>
    <xf numFmtId="0" fontId="0" fillId="0" borderId="23" xfId="0" applyFont="1" applyBorder="1"/>
    <xf numFmtId="3" fontId="0" fillId="2" borderId="2" xfId="0" applyNumberFormat="1" applyFill="1" applyBorder="1" applyProtection="1">
      <protection locked="0"/>
    </xf>
    <xf numFmtId="0" fontId="0" fillId="0" borderId="25" xfId="0" applyFont="1" applyBorder="1"/>
    <xf numFmtId="3" fontId="0" fillId="2" borderId="26" xfId="0" applyNumberFormat="1" applyFill="1" applyBorder="1" applyProtection="1">
      <protection locked="0"/>
    </xf>
    <xf numFmtId="0" fontId="8" fillId="0" borderId="15" xfId="0" applyFont="1" applyBorder="1"/>
    <xf numFmtId="3" fontId="8" fillId="2" borderId="17" xfId="0" applyNumberFormat="1" applyFont="1" applyFill="1" applyBorder="1" applyProtection="1">
      <protection locked="0"/>
    </xf>
    <xf numFmtId="0" fontId="8" fillId="6" borderId="21" xfId="0" applyFont="1" applyFill="1" applyBorder="1"/>
    <xf numFmtId="0" fontId="0" fillId="0" borderId="23" xfId="0" applyFont="1" applyBorder="1" applyProtection="1"/>
    <xf numFmtId="3" fontId="0" fillId="2" borderId="2" xfId="0" applyNumberFormat="1" applyFill="1" applyBorder="1" applyProtection="1"/>
    <xf numFmtId="0" fontId="0" fillId="0" borderId="23" xfId="0" applyFont="1" applyBorder="1" applyProtection="1">
      <protection locked="0"/>
    </xf>
    <xf numFmtId="0" fontId="14" fillId="0" borderId="23" xfId="0" applyFont="1" applyBorder="1" applyProtection="1">
      <protection locked="0"/>
    </xf>
    <xf numFmtId="0" fontId="19" fillId="0" borderId="23" xfId="0" applyFont="1" applyBorder="1" applyProtection="1">
      <protection locked="0"/>
    </xf>
    <xf numFmtId="0" fontId="0" fillId="0" borderId="25" xfId="0" applyFont="1" applyBorder="1" applyProtection="1">
      <protection locked="0"/>
    </xf>
    <xf numFmtId="3" fontId="0" fillId="2" borderId="29" xfId="0" applyNumberFormat="1" applyFill="1" applyBorder="1" applyProtection="1">
      <protection locked="0"/>
    </xf>
    <xf numFmtId="0" fontId="0" fillId="0" borderId="24" xfId="0" applyFont="1" applyBorder="1" applyAlignment="1">
      <alignment horizontal="left" wrapText="1"/>
    </xf>
    <xf numFmtId="0" fontId="0" fillId="0" borderId="27" xfId="0" applyFont="1" applyBorder="1" applyAlignment="1">
      <alignment horizontal="left" wrapText="1"/>
    </xf>
    <xf numFmtId="3" fontId="8" fillId="7" borderId="29" xfId="0" applyNumberFormat="1" applyFont="1" applyFill="1" applyBorder="1"/>
    <xf numFmtId="0" fontId="8" fillId="7" borderId="25" xfId="0" applyFont="1" applyFill="1" applyBorder="1"/>
    <xf numFmtId="0" fontId="8" fillId="0" borderId="0" xfId="0" applyFont="1" applyBorder="1" applyAlignment="1">
      <alignment horizontal="left"/>
    </xf>
    <xf numFmtId="0" fontId="8" fillId="0" borderId="0" xfId="0" applyFont="1" applyBorder="1"/>
    <xf numFmtId="0" fontId="4" fillId="0" borderId="0" xfId="0" applyFont="1" applyBorder="1" applyAlignment="1">
      <alignment horizontal="left"/>
    </xf>
    <xf numFmtId="0" fontId="4" fillId="0" borderId="12" xfId="0" applyFont="1" applyBorder="1" applyAlignment="1">
      <alignment horizontal="left"/>
    </xf>
    <xf numFmtId="0" fontId="8" fillId="5" borderId="16" xfId="0" applyFont="1" applyFill="1" applyBorder="1" applyAlignment="1">
      <alignment horizontal="center"/>
    </xf>
    <xf numFmtId="0" fontId="0" fillId="0" borderId="0" xfId="0" applyBorder="1" applyAlignment="1"/>
    <xf numFmtId="0" fontId="13" fillId="0" borderId="0" xfId="0" applyFont="1" applyBorder="1"/>
    <xf numFmtId="0" fontId="8"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4" fillId="0" borderId="0" xfId="0" applyFont="1" applyBorder="1" applyAlignment="1">
      <alignment horizontal="center"/>
    </xf>
    <xf numFmtId="3" fontId="13" fillId="7" borderId="2" xfId="0" applyNumberFormat="1" applyFont="1" applyFill="1" applyBorder="1"/>
    <xf numFmtId="3" fontId="13" fillId="0" borderId="11" xfId="0" applyNumberFormat="1" applyFont="1" applyBorder="1"/>
    <xf numFmtId="3" fontId="4" fillId="0" borderId="11" xfId="0" applyNumberFormat="1" applyFont="1" applyBorder="1" applyAlignment="1">
      <alignment horizontal="center"/>
    </xf>
    <xf numFmtId="0" fontId="0" fillId="0" borderId="24" xfId="0" applyFont="1" applyBorder="1"/>
    <xf numFmtId="0" fontId="0" fillId="0" borderId="27" xfId="0" applyFont="1" applyBorder="1"/>
    <xf numFmtId="0" fontId="14" fillId="0" borderId="0" xfId="0" applyFont="1"/>
    <xf numFmtId="0" fontId="8" fillId="0" borderId="0" xfId="0" applyFont="1" applyAlignment="1">
      <alignment horizontal="left"/>
    </xf>
    <xf numFmtId="0" fontId="22" fillId="0" borderId="0" xfId="0" applyFont="1"/>
    <xf numFmtId="0" fontId="14" fillId="0" borderId="0" xfId="0" applyFont="1" applyAlignment="1"/>
    <xf numFmtId="0" fontId="14" fillId="0" borderId="0" xfId="0" applyFont="1" applyAlignment="1">
      <alignment wrapText="1"/>
    </xf>
    <xf numFmtId="0" fontId="23" fillId="0" borderId="0" xfId="0" applyFont="1" applyBorder="1" applyAlignment="1">
      <alignment horizontal="left" vertical="center"/>
    </xf>
    <xf numFmtId="0" fontId="14" fillId="0" borderId="0" xfId="0" applyFont="1" applyAlignment="1">
      <alignment vertical="center"/>
    </xf>
    <xf numFmtId="0" fontId="4" fillId="4" borderId="2" xfId="0" applyFont="1" applyFill="1" applyBorder="1" applyAlignment="1" applyProtection="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2" xfId="0" applyFont="1" applyFill="1" applyBorder="1" applyAlignment="1">
      <alignment horizontal="center" vertical="center"/>
    </xf>
    <xf numFmtId="0" fontId="13" fillId="0" borderId="0" xfId="0" applyFont="1" applyAlignment="1">
      <alignment vertical="center"/>
    </xf>
    <xf numFmtId="0" fontId="5" fillId="6" borderId="4" xfId="0" applyFont="1" applyFill="1" applyBorder="1"/>
    <xf numFmtId="165" fontId="5" fillId="6" borderId="4" xfId="0" applyNumberFormat="1" applyFont="1" applyFill="1" applyBorder="1"/>
    <xf numFmtId="165" fontId="5" fillId="6" borderId="5" xfId="0" applyNumberFormat="1" applyFont="1" applyFill="1" applyBorder="1"/>
    <xf numFmtId="165" fontId="24" fillId="6" borderId="7" xfId="0" applyNumberFormat="1" applyFont="1" applyFill="1" applyBorder="1" applyAlignment="1">
      <alignment horizontal="center"/>
    </xf>
    <xf numFmtId="0" fontId="5" fillId="0" borderId="8" xfId="0" applyFont="1" applyBorder="1" applyAlignment="1" applyProtection="1">
      <alignment horizontal="center" vertical="center" wrapText="1"/>
    </xf>
    <xf numFmtId="0" fontId="5" fillId="0" borderId="31" xfId="0" applyFont="1" applyBorder="1" applyAlignment="1" applyProtection="1">
      <alignment vertical="center" wrapText="1"/>
      <protection locked="0"/>
    </xf>
    <xf numFmtId="0" fontId="5" fillId="0" borderId="0" xfId="0" applyFont="1"/>
    <xf numFmtId="165" fontId="5" fillId="0" borderId="0" xfId="0" applyNumberFormat="1" applyFont="1"/>
    <xf numFmtId="0" fontId="25" fillId="5" borderId="2" xfId="0" applyFont="1" applyFill="1" applyBorder="1" applyAlignment="1">
      <alignment vertical="center" wrapText="1"/>
    </xf>
    <xf numFmtId="0" fontId="14" fillId="0" borderId="5"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10" xfId="0" applyFont="1" applyBorder="1" applyAlignment="1">
      <alignment horizontal="left"/>
    </xf>
    <xf numFmtId="0" fontId="16" fillId="0" borderId="8" xfId="0" applyFont="1" applyBorder="1" applyAlignment="1" applyProtection="1">
      <alignment horizontal="center" vertical="center" wrapText="1"/>
    </xf>
    <xf numFmtId="0" fontId="16" fillId="0" borderId="31" xfId="0" applyFont="1" applyBorder="1" applyAlignment="1" applyProtection="1">
      <alignment vertical="center" wrapText="1"/>
      <protection locked="0"/>
    </xf>
    <xf numFmtId="0" fontId="16" fillId="0" borderId="0" xfId="0" applyFont="1" applyBorder="1"/>
    <xf numFmtId="0" fontId="16" fillId="0" borderId="31" xfId="0" applyFont="1" applyBorder="1"/>
    <xf numFmtId="0" fontId="16" fillId="0" borderId="4" xfId="0" applyFont="1" applyBorder="1"/>
    <xf numFmtId="0" fontId="14" fillId="0" borderId="31" xfId="0" applyFont="1" applyBorder="1" applyAlignment="1" applyProtection="1">
      <alignment vertical="center" wrapText="1"/>
      <protection locked="0"/>
    </xf>
    <xf numFmtId="0" fontId="5" fillId="6" borderId="2" xfId="0" applyFont="1" applyFill="1" applyBorder="1"/>
    <xf numFmtId="0" fontId="8" fillId="0" borderId="31" xfId="0" applyFont="1" applyBorder="1" applyAlignment="1" applyProtection="1">
      <alignment vertical="center" wrapText="1"/>
      <protection locked="0"/>
    </xf>
    <xf numFmtId="0" fontId="14" fillId="0" borderId="6" xfId="0" applyFont="1" applyBorder="1"/>
    <xf numFmtId="0" fontId="5" fillId="0" borderId="10" xfId="0" applyFont="1" applyBorder="1"/>
    <xf numFmtId="0" fontId="8" fillId="0" borderId="3" xfId="0" applyFont="1" applyBorder="1" applyAlignment="1" applyProtection="1">
      <alignment horizontal="center" vertical="center" wrapText="1"/>
    </xf>
    <xf numFmtId="0" fontId="16" fillId="0" borderId="3" xfId="0" applyFont="1" applyBorder="1"/>
    <xf numFmtId="0" fontId="16" fillId="0" borderId="8" xfId="0" applyFont="1" applyBorder="1"/>
    <xf numFmtId="0" fontId="14" fillId="0" borderId="31" xfId="0" applyFont="1" applyBorder="1" applyAlignment="1" applyProtection="1">
      <alignment horizontal="center" vertical="center" wrapText="1"/>
    </xf>
    <xf numFmtId="0" fontId="5" fillId="0" borderId="4" xfId="0" applyFont="1" applyBorder="1"/>
    <xf numFmtId="0" fontId="5" fillId="0" borderId="8" xfId="0" applyFont="1" applyBorder="1"/>
    <xf numFmtId="0" fontId="8" fillId="0" borderId="31" xfId="0" applyFont="1" applyBorder="1"/>
    <xf numFmtId="0" fontId="5" fillId="0" borderId="3" xfId="0" applyFont="1" applyBorder="1"/>
    <xf numFmtId="0" fontId="14" fillId="0" borderId="31" xfId="0" applyFont="1" applyBorder="1"/>
    <xf numFmtId="0" fontId="28" fillId="4" borderId="3" xfId="0" applyFont="1" applyFill="1" applyBorder="1"/>
    <xf numFmtId="0" fontId="16" fillId="4" borderId="10" xfId="0" applyFont="1" applyFill="1" applyBorder="1"/>
    <xf numFmtId="0" fontId="14" fillId="4" borderId="3" xfId="0" applyFont="1" applyFill="1" applyBorder="1"/>
    <xf numFmtId="0" fontId="16" fillId="4" borderId="0" xfId="0" applyFont="1" applyFill="1" applyBorder="1"/>
    <xf numFmtId="0" fontId="28" fillId="4" borderId="4" xfId="0" applyFont="1" applyFill="1" applyBorder="1"/>
    <xf numFmtId="0" fontId="16" fillId="4" borderId="8" xfId="0" applyFont="1" applyFill="1" applyBorder="1"/>
    <xf numFmtId="0" fontId="14" fillId="4" borderId="31" xfId="0" applyFont="1" applyFill="1" applyBorder="1"/>
    <xf numFmtId="0" fontId="25" fillId="5" borderId="2" xfId="0" applyFont="1" applyFill="1" applyBorder="1" applyAlignment="1">
      <alignment vertical="center"/>
    </xf>
    <xf numFmtId="0" fontId="14" fillId="0" borderId="0" xfId="0" applyFont="1" applyBorder="1"/>
    <xf numFmtId="0" fontId="14" fillId="0" borderId="0" xfId="0" applyFont="1" applyBorder="1" applyAlignment="1"/>
    <xf numFmtId="0" fontId="30" fillId="0" borderId="0" xfId="0" applyFont="1" applyBorder="1"/>
    <xf numFmtId="0" fontId="30" fillId="0" borderId="0" xfId="0" applyFont="1" applyBorder="1" applyAlignment="1"/>
    <xf numFmtId="0" fontId="14" fillId="4" borderId="0" xfId="0" applyFont="1" applyFill="1" applyAlignment="1">
      <alignment vertical="center"/>
    </xf>
    <xf numFmtId="0" fontId="12" fillId="4" borderId="2" xfId="0" applyFont="1" applyFill="1" applyBorder="1" applyAlignment="1">
      <alignment horizontal="center" vertical="center"/>
    </xf>
    <xf numFmtId="0" fontId="5" fillId="4" borderId="7" xfId="0" applyFont="1" applyFill="1" applyBorder="1" applyAlignment="1">
      <alignment horizontal="center" vertical="center"/>
    </xf>
    <xf numFmtId="0" fontId="13" fillId="4" borderId="0" xfId="0" applyFont="1" applyFill="1" applyBorder="1" applyAlignment="1">
      <alignment horizontal="center" vertical="center"/>
    </xf>
    <xf numFmtId="0" fontId="4" fillId="4" borderId="0" xfId="0" applyFont="1" applyFill="1" applyBorder="1" applyAlignment="1">
      <alignment horizontal="center" vertical="center"/>
    </xf>
    <xf numFmtId="0" fontId="13" fillId="4" borderId="0" xfId="0" applyFont="1" applyFill="1" applyBorder="1" applyAlignment="1">
      <alignment vertical="center"/>
    </xf>
    <xf numFmtId="0" fontId="13" fillId="4" borderId="0" xfId="0" applyFont="1" applyFill="1" applyAlignment="1">
      <alignment vertical="center"/>
    </xf>
    <xf numFmtId="0" fontId="5" fillId="0" borderId="3"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3" xfId="0" applyFont="1" applyBorder="1" applyAlignment="1" applyProtection="1">
      <alignment vertical="center" wrapText="1"/>
      <protection locked="0"/>
    </xf>
    <xf numFmtId="0" fontId="14" fillId="0" borderId="0" xfId="0" applyFont="1" applyBorder="1" applyAlignment="1">
      <alignment vertical="center"/>
    </xf>
    <xf numFmtId="166" fontId="8" fillId="0" borderId="11" xfId="1" applyFont="1" applyBorder="1" applyAlignment="1" applyProtection="1">
      <alignment horizontal="center" vertical="center" wrapText="1"/>
    </xf>
    <xf numFmtId="168" fontId="5" fillId="0" borderId="0" xfId="0" applyNumberFormat="1" applyFont="1" applyAlignment="1">
      <alignment horizontal="center" vertical="center"/>
    </xf>
    <xf numFmtId="0" fontId="8" fillId="0" borderId="2"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167" fontId="5" fillId="0" borderId="0" xfId="0" applyNumberFormat="1" applyFont="1" applyAlignment="1">
      <alignment horizontal="center" vertical="center"/>
    </xf>
    <xf numFmtId="0" fontId="16" fillId="0" borderId="0" xfId="0" applyFont="1"/>
    <xf numFmtId="0" fontId="31" fillId="0" borderId="0" xfId="0" applyFont="1"/>
    <xf numFmtId="0" fontId="32" fillId="0" borderId="0" xfId="0" applyFont="1"/>
    <xf numFmtId="0" fontId="21" fillId="0" borderId="0" xfId="0" applyFont="1" applyBorder="1" applyAlignment="1">
      <alignment vertical="center" wrapText="1"/>
    </xf>
    <xf numFmtId="0" fontId="21" fillId="0" borderId="0" xfId="0" applyFont="1" applyBorder="1" applyAlignment="1">
      <alignment vertical="center"/>
    </xf>
    <xf numFmtId="0" fontId="2" fillId="0" borderId="0" xfId="0" applyFont="1" applyBorder="1" applyAlignment="1">
      <alignment horizontal="center" vertical="center" wrapText="1"/>
    </xf>
    <xf numFmtId="165" fontId="2" fillId="0" borderId="0" xfId="0" applyNumberFormat="1" applyFont="1" applyBorder="1" applyAlignment="1">
      <alignment horizontal="center" vertical="center" wrapText="1"/>
    </xf>
    <xf numFmtId="0" fontId="33"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165" fontId="5" fillId="0" borderId="0" xfId="0" applyNumberFormat="1" applyFont="1" applyBorder="1" applyAlignment="1">
      <alignment horizontal="center" vertical="center"/>
    </xf>
    <xf numFmtId="0" fontId="34" fillId="4" borderId="0" xfId="0" applyFont="1" applyFill="1" applyBorder="1" applyAlignment="1">
      <alignment vertical="center"/>
    </xf>
    <xf numFmtId="0" fontId="13" fillId="4" borderId="0" xfId="0" applyFont="1" applyFill="1" applyBorder="1" applyAlignment="1">
      <alignment horizontal="center"/>
    </xf>
    <xf numFmtId="1" fontId="33" fillId="0" borderId="7" xfId="0" applyNumberFormat="1" applyFont="1" applyBorder="1" applyAlignment="1" applyProtection="1">
      <alignment horizontal="center" vertical="center" wrapText="1"/>
      <protection locked="0"/>
    </xf>
    <xf numFmtId="0" fontId="13" fillId="0" borderId="0" xfId="0" applyFont="1"/>
    <xf numFmtId="1" fontId="8" fillId="0" borderId="33" xfId="0" applyNumberFormat="1" applyFont="1" applyBorder="1" applyAlignment="1">
      <alignment horizontal="center" vertical="center" wrapText="1"/>
    </xf>
    <xf numFmtId="1" fontId="35" fillId="0" borderId="34" xfId="0" applyNumberFormat="1" applyFont="1" applyBorder="1" applyAlignment="1">
      <alignment horizontal="center" vertical="center" wrapText="1"/>
    </xf>
    <xf numFmtId="1" fontId="35" fillId="0" borderId="35" xfId="0" applyNumberFormat="1" applyFont="1" applyBorder="1" applyAlignment="1">
      <alignment horizontal="center" vertical="center" wrapText="1"/>
    </xf>
    <xf numFmtId="1" fontId="33" fillId="0" borderId="36" xfId="0" applyNumberFormat="1" applyFont="1" applyBorder="1" applyAlignment="1" applyProtection="1">
      <alignment horizontal="center" vertical="center" wrapText="1"/>
      <protection locked="0"/>
    </xf>
    <xf numFmtId="169" fontId="5" fillId="5" borderId="3" xfId="0" applyNumberFormat="1" applyFont="1" applyFill="1" applyBorder="1"/>
    <xf numFmtId="165" fontId="5" fillId="5" borderId="10" xfId="0" applyNumberFormat="1" applyFont="1" applyFill="1" applyBorder="1" applyAlignment="1">
      <alignment horizontal="right"/>
    </xf>
    <xf numFmtId="166" fontId="35" fillId="5" borderId="32" xfId="0" applyNumberFormat="1" applyFont="1" applyFill="1" applyBorder="1" applyAlignment="1">
      <alignment horizontal="right"/>
    </xf>
    <xf numFmtId="166" fontId="35" fillId="5" borderId="37" xfId="0" applyNumberFormat="1" applyFont="1" applyFill="1" applyBorder="1" applyAlignment="1">
      <alignment horizontal="right"/>
    </xf>
    <xf numFmtId="165" fontId="24" fillId="5" borderId="32" xfId="0" applyNumberFormat="1" applyFont="1" applyFill="1" applyBorder="1" applyAlignment="1">
      <alignment horizontal="center"/>
    </xf>
    <xf numFmtId="165" fontId="13" fillId="4" borderId="0" xfId="0" applyNumberFormat="1" applyFont="1" applyFill="1" applyBorder="1" applyAlignment="1">
      <alignment horizontal="center"/>
    </xf>
    <xf numFmtId="165" fontId="16" fillId="0" borderId="8" xfId="0" applyNumberFormat="1" applyFont="1" applyBorder="1" applyAlignment="1">
      <alignment horizontal="right"/>
    </xf>
    <xf numFmtId="166" fontId="36" fillId="0" borderId="12" xfId="0" applyNumberFormat="1" applyFont="1" applyBorder="1" applyAlignment="1">
      <alignment horizontal="right"/>
    </xf>
    <xf numFmtId="166" fontId="36" fillId="0" borderId="0" xfId="0" applyNumberFormat="1" applyFont="1" applyBorder="1" applyAlignment="1">
      <alignment horizontal="right"/>
    </xf>
    <xf numFmtId="165" fontId="37" fillId="0" borderId="12" xfId="0" applyNumberFormat="1" applyFont="1" applyBorder="1" applyAlignment="1">
      <alignment horizontal="center"/>
    </xf>
    <xf numFmtId="165" fontId="27" fillId="0" borderId="12" xfId="0" applyNumberFormat="1" applyFont="1" applyBorder="1" applyAlignment="1">
      <alignment horizontal="center"/>
    </xf>
    <xf numFmtId="170" fontId="16" fillId="0" borderId="0" xfId="0" applyNumberFormat="1" applyFont="1" applyBorder="1" applyAlignment="1">
      <alignment horizontal="right"/>
    </xf>
    <xf numFmtId="0" fontId="38" fillId="0" borderId="31" xfId="0" applyFont="1" applyBorder="1"/>
    <xf numFmtId="165" fontId="16" fillId="0" borderId="0" xfId="0" applyNumberFormat="1" applyFont="1" applyBorder="1" applyAlignment="1">
      <alignment horizontal="right"/>
    </xf>
    <xf numFmtId="0" fontId="5" fillId="6" borderId="2" xfId="0" applyFont="1" applyFill="1" applyBorder="1" applyAlignment="1">
      <alignment horizontal="left" vertical="center"/>
    </xf>
    <xf numFmtId="165" fontId="5" fillId="6" borderId="5" xfId="0" applyNumberFormat="1" applyFont="1" applyFill="1" applyBorder="1" applyAlignment="1">
      <alignment horizontal="right" vertical="center"/>
    </xf>
    <xf numFmtId="166" fontId="35" fillId="6" borderId="7" xfId="0" applyNumberFormat="1" applyFont="1" applyFill="1" applyBorder="1" applyAlignment="1">
      <alignment horizontal="right" vertical="center"/>
    </xf>
    <xf numFmtId="166" fontId="35" fillId="6" borderId="6" xfId="0" applyNumberFormat="1" applyFont="1" applyFill="1" applyBorder="1" applyAlignment="1">
      <alignment horizontal="right" vertical="center"/>
    </xf>
    <xf numFmtId="165" fontId="24" fillId="6" borderId="7" xfId="0" applyNumberFormat="1" applyFont="1" applyFill="1" applyBorder="1" applyAlignment="1">
      <alignment horizontal="center" vertical="center"/>
    </xf>
    <xf numFmtId="0" fontId="16" fillId="0" borderId="0" xfId="0" applyFont="1" applyBorder="1" applyAlignment="1">
      <alignment vertical="center"/>
    </xf>
    <xf numFmtId="171" fontId="16" fillId="0" borderId="0" xfId="0" applyNumberFormat="1" applyFont="1" applyBorder="1" applyAlignment="1">
      <alignment horizontal="right"/>
    </xf>
    <xf numFmtId="165" fontId="16" fillId="0" borderId="9" xfId="0" applyNumberFormat="1" applyFont="1" applyBorder="1" applyAlignment="1">
      <alignment horizontal="right"/>
    </xf>
    <xf numFmtId="166" fontId="36" fillId="0" borderId="13" xfId="0" applyNumberFormat="1" applyFont="1" applyBorder="1" applyAlignment="1">
      <alignment horizontal="right"/>
    </xf>
    <xf numFmtId="166" fontId="36" fillId="0" borderId="1" xfId="0" applyNumberFormat="1" applyFont="1" applyBorder="1" applyAlignment="1">
      <alignment horizontal="right"/>
    </xf>
    <xf numFmtId="165" fontId="27" fillId="0" borderId="13" xfId="0" applyNumberFormat="1" applyFont="1" applyBorder="1" applyAlignment="1">
      <alignment horizontal="center"/>
    </xf>
    <xf numFmtId="165" fontId="5" fillId="6" borderId="5" xfId="0" applyNumberFormat="1" applyFont="1" applyFill="1" applyBorder="1" applyAlignment="1">
      <alignment vertical="center"/>
    </xf>
    <xf numFmtId="170" fontId="16" fillId="0" borderId="0" xfId="0" applyNumberFormat="1" applyFont="1" applyBorder="1" applyAlignment="1">
      <alignment horizontal="right" vertical="center"/>
    </xf>
    <xf numFmtId="0" fontId="16" fillId="5" borderId="2" xfId="0" applyFont="1" applyFill="1" applyBorder="1" applyAlignment="1">
      <alignment vertical="center"/>
    </xf>
    <xf numFmtId="165" fontId="5" fillId="5" borderId="5" xfId="0" applyNumberFormat="1" applyFont="1" applyFill="1" applyBorder="1" applyAlignment="1">
      <alignment vertical="center"/>
    </xf>
    <xf numFmtId="166" fontId="35" fillId="5" borderId="7" xfId="0" applyNumberFormat="1" applyFont="1" applyFill="1" applyBorder="1" applyAlignment="1">
      <alignment horizontal="right" vertical="center"/>
    </xf>
    <xf numFmtId="166" fontId="35" fillId="5" borderId="6" xfId="0" applyNumberFormat="1" applyFont="1" applyFill="1" applyBorder="1" applyAlignment="1">
      <alignment horizontal="right" vertical="center"/>
    </xf>
    <xf numFmtId="165" fontId="24" fillId="5" borderId="7" xfId="0" applyNumberFormat="1" applyFont="1" applyFill="1" applyBorder="1" applyAlignment="1">
      <alignment horizontal="center" vertical="center"/>
    </xf>
    <xf numFmtId="0" fontId="16" fillId="4" borderId="3" xfId="0" applyFont="1" applyFill="1" applyBorder="1"/>
    <xf numFmtId="165" fontId="16" fillId="4" borderId="10" xfId="0" applyNumberFormat="1" applyFont="1" applyFill="1" applyBorder="1" applyAlignment="1">
      <alignment horizontal="right"/>
    </xf>
    <xf numFmtId="166" fontId="36" fillId="4" borderId="32" xfId="0" applyNumberFormat="1" applyFont="1" applyFill="1" applyBorder="1" applyAlignment="1">
      <alignment horizontal="right"/>
    </xf>
    <xf numFmtId="165" fontId="27" fillId="4" borderId="32" xfId="0" applyNumberFormat="1" applyFont="1" applyFill="1" applyBorder="1" applyAlignment="1">
      <alignment horizontal="center"/>
    </xf>
    <xf numFmtId="0" fontId="16" fillId="4" borderId="4" xfId="0" applyFont="1" applyFill="1" applyBorder="1"/>
    <xf numFmtId="165" fontId="16" fillId="4" borderId="9" xfId="0" applyNumberFormat="1" applyFont="1" applyFill="1" applyBorder="1" applyAlignment="1">
      <alignment horizontal="right"/>
    </xf>
    <xf numFmtId="166" fontId="36" fillId="4" borderId="13" xfId="0" applyNumberFormat="1" applyFont="1" applyFill="1" applyBorder="1" applyAlignment="1">
      <alignment horizontal="right"/>
    </xf>
    <xf numFmtId="165" fontId="27" fillId="4" borderId="13" xfId="0" applyNumberFormat="1" applyFont="1" applyFill="1" applyBorder="1" applyAlignment="1">
      <alignment horizontal="center"/>
    </xf>
    <xf numFmtId="0" fontId="16" fillId="0" borderId="2" xfId="0" applyFont="1" applyBorder="1"/>
    <xf numFmtId="165" fontId="16" fillId="0" borderId="5" xfId="0" applyNumberFormat="1" applyFont="1" applyBorder="1" applyAlignment="1">
      <alignment horizontal="right"/>
    </xf>
    <xf numFmtId="166" fontId="36" fillId="0" borderId="7" xfId="0" applyNumberFormat="1" applyFont="1" applyBorder="1" applyAlignment="1">
      <alignment horizontal="right"/>
    </xf>
    <xf numFmtId="166" fontId="36" fillId="0" borderId="6" xfId="0" applyNumberFormat="1" applyFont="1" applyBorder="1" applyAlignment="1">
      <alignment horizontal="right"/>
    </xf>
    <xf numFmtId="165" fontId="27" fillId="0" borderId="7" xfId="0" applyNumberFormat="1" applyFont="1" applyBorder="1" applyAlignment="1">
      <alignment horizontal="center"/>
    </xf>
    <xf numFmtId="0" fontId="5" fillId="6" borderId="2" xfId="0" applyFont="1" applyFill="1" applyBorder="1" applyAlignment="1"/>
    <xf numFmtId="165" fontId="5" fillId="6" borderId="5" xfId="0" applyNumberFormat="1" applyFont="1" applyFill="1" applyBorder="1" applyAlignment="1">
      <alignment horizontal="right"/>
    </xf>
    <xf numFmtId="166" fontId="35" fillId="6" borderId="7" xfId="0" applyNumberFormat="1" applyFont="1" applyFill="1" applyBorder="1" applyAlignment="1">
      <alignment horizontal="right"/>
    </xf>
    <xf numFmtId="166" fontId="35" fillId="6" borderId="6" xfId="0" applyNumberFormat="1" applyFont="1" applyFill="1" applyBorder="1" applyAlignment="1">
      <alignment horizontal="right"/>
    </xf>
    <xf numFmtId="0" fontId="16" fillId="0" borderId="0" xfId="0" applyFont="1" applyBorder="1" applyAlignment="1">
      <alignment horizontal="right"/>
    </xf>
    <xf numFmtId="0" fontId="16" fillId="0" borderId="0" xfId="0" applyFont="1" applyAlignment="1">
      <alignment horizontal="right"/>
    </xf>
    <xf numFmtId="165" fontId="16" fillId="0" borderId="0" xfId="0" applyNumberFormat="1" applyFont="1" applyBorder="1"/>
    <xf numFmtId="165" fontId="14" fillId="0" borderId="0" xfId="0" applyNumberFormat="1" applyFont="1" applyBorder="1"/>
    <xf numFmtId="166" fontId="16" fillId="0" borderId="0" xfId="0" applyNumberFormat="1" applyFont="1" applyBorder="1"/>
    <xf numFmtId="0" fontId="39" fillId="0" borderId="0" xfId="0" applyFont="1" applyBorder="1"/>
    <xf numFmtId="165" fontId="16" fillId="0" borderId="0" xfId="0" applyNumberFormat="1" applyFont="1"/>
    <xf numFmtId="0" fontId="40" fillId="4" borderId="0" xfId="0" applyFont="1" applyFill="1"/>
    <xf numFmtId="0" fontId="12" fillId="4" borderId="38" xfId="0" applyFont="1" applyFill="1" applyBorder="1" applyAlignment="1">
      <alignment horizontal="center" vertical="center"/>
    </xf>
    <xf numFmtId="0" fontId="12" fillId="4" borderId="39" xfId="0" applyFont="1" applyFill="1" applyBorder="1" applyAlignment="1">
      <alignment horizontal="center" vertical="center"/>
    </xf>
    <xf numFmtId="1" fontId="20" fillId="0" borderId="5" xfId="0" applyNumberFormat="1" applyFont="1" applyBorder="1" applyAlignment="1">
      <alignment horizontal="center" vertical="center" wrapText="1"/>
    </xf>
    <xf numFmtId="1" fontId="20" fillId="0" borderId="6" xfId="0" applyNumberFormat="1" applyFont="1" applyBorder="1" applyAlignment="1">
      <alignment horizontal="center" vertical="center" wrapText="1"/>
    </xf>
    <xf numFmtId="0" fontId="5" fillId="0" borderId="38" xfId="0" applyFont="1" applyBorder="1" applyAlignment="1">
      <alignment horizontal="center" vertical="center" wrapText="1"/>
    </xf>
    <xf numFmtId="166" fontId="16" fillId="0" borderId="1" xfId="1" applyFont="1" applyBorder="1" applyAlignment="1" applyProtection="1">
      <alignment horizontal="center" vertical="center" wrapText="1"/>
    </xf>
    <xf numFmtId="165" fontId="24" fillId="4" borderId="13" xfId="0" applyNumberFormat="1" applyFont="1" applyFill="1" applyBorder="1" applyAlignment="1">
      <alignment horizontal="center" vertical="center"/>
    </xf>
    <xf numFmtId="166" fontId="16" fillId="0" borderId="6" xfId="1" applyFont="1" applyBorder="1" applyAlignment="1" applyProtection="1">
      <alignment horizontal="center" vertical="center" wrapText="1"/>
    </xf>
    <xf numFmtId="165" fontId="24" fillId="4" borderId="7" xfId="0" applyNumberFormat="1" applyFont="1" applyFill="1" applyBorder="1" applyAlignment="1">
      <alignment horizontal="center" vertical="center"/>
    </xf>
    <xf numFmtId="165" fontId="16" fillId="0" borderId="6" xfId="0" applyNumberFormat="1" applyFont="1" applyBorder="1" applyAlignment="1">
      <alignment horizontal="center" vertical="center"/>
    </xf>
    <xf numFmtId="166" fontId="16" fillId="4" borderId="6" xfId="1" applyFont="1" applyFill="1" applyBorder="1" applyAlignment="1" applyProtection="1">
      <alignment horizontal="center" vertical="center" wrapText="1"/>
    </xf>
    <xf numFmtId="0" fontId="5" fillId="0" borderId="24" xfId="0" applyFont="1" applyBorder="1" applyAlignment="1">
      <alignment horizontal="center" vertical="center" wrapText="1"/>
    </xf>
    <xf numFmtId="0" fontId="17" fillId="0" borderId="0" xfId="0" applyFont="1"/>
    <xf numFmtId="0" fontId="41" fillId="0" borderId="0" xfId="0" applyFont="1" applyBorder="1" applyAlignment="1">
      <alignment vertical="center"/>
    </xf>
    <xf numFmtId="165" fontId="5" fillId="0" borderId="0" xfId="0" applyNumberFormat="1" applyFont="1" applyAlignment="1">
      <alignment horizontal="center"/>
    </xf>
    <xf numFmtId="0" fontId="38" fillId="0" borderId="0" xfId="0" applyFont="1" applyBorder="1" applyAlignment="1">
      <alignment horizontal="left" indent="3"/>
    </xf>
    <xf numFmtId="0" fontId="38" fillId="0" borderId="0" xfId="0" applyFont="1" applyBorder="1"/>
    <xf numFmtId="0" fontId="38" fillId="0" borderId="0" xfId="0" applyFont="1"/>
    <xf numFmtId="166" fontId="7" fillId="0" borderId="0" xfId="0" applyNumberFormat="1" applyFont="1" applyBorder="1" applyAlignment="1">
      <alignment horizontal="center"/>
    </xf>
    <xf numFmtId="0" fontId="16" fillId="0" borderId="0" xfId="0" applyFont="1" applyBorder="1" applyAlignment="1">
      <alignment horizontal="left"/>
    </xf>
    <xf numFmtId="166" fontId="5" fillId="0" borderId="0" xfId="0" applyNumberFormat="1" applyFont="1" applyBorder="1" applyAlignment="1">
      <alignment horizontal="center"/>
    </xf>
    <xf numFmtId="0" fontId="41" fillId="0" borderId="0" xfId="0" applyFont="1" applyBorder="1"/>
    <xf numFmtId="0" fontId="16" fillId="0" borderId="0" xfId="0" applyFont="1" applyAlignment="1">
      <alignment horizontal="right" vertical="center"/>
    </xf>
    <xf numFmtId="172" fontId="5" fillId="0" borderId="0" xfId="0" applyNumberFormat="1" applyFont="1" applyAlignment="1">
      <alignment horizontal="center"/>
    </xf>
    <xf numFmtId="0" fontId="38" fillId="0" borderId="0" xfId="0" applyFont="1" applyAlignment="1">
      <alignment horizontal="left" indent="3"/>
    </xf>
    <xf numFmtId="172" fontId="7" fillId="0" borderId="0" xfId="0" applyNumberFormat="1" applyFont="1" applyAlignment="1">
      <alignment horizontal="center"/>
    </xf>
    <xf numFmtId="0" fontId="44" fillId="0" borderId="0" xfId="0" applyFont="1"/>
    <xf numFmtId="3" fontId="45" fillId="2" borderId="2" xfId="0" applyNumberFormat="1" applyFont="1" applyFill="1" applyBorder="1" applyAlignment="1" applyProtection="1">
      <alignment horizontal="right"/>
      <protection locked="0"/>
    </xf>
    <xf numFmtId="0" fontId="45" fillId="0" borderId="0" xfId="0" applyFont="1"/>
    <xf numFmtId="166" fontId="16" fillId="0" borderId="1" xfId="1" applyFont="1" applyBorder="1" applyAlignment="1" applyProtection="1"/>
    <xf numFmtId="167" fontId="43" fillId="0" borderId="6" xfId="1" applyNumberFormat="1" applyFont="1" applyBorder="1" applyAlignment="1" applyProtection="1"/>
    <xf numFmtId="165" fontId="16" fillId="0" borderId="3" xfId="0" applyNumberFormat="1" applyFont="1" applyBorder="1" applyAlignment="1"/>
    <xf numFmtId="165" fontId="16" fillId="0" borderId="10" xfId="0" applyNumberFormat="1" applyFont="1" applyBorder="1" applyAlignment="1"/>
    <xf numFmtId="165" fontId="27" fillId="0" borderId="32" xfId="0" applyNumberFormat="1" applyFont="1" applyBorder="1" applyAlignment="1"/>
    <xf numFmtId="165" fontId="16" fillId="0" borderId="31" xfId="0" applyNumberFormat="1" applyFont="1" applyBorder="1" applyAlignment="1"/>
    <xf numFmtId="165" fontId="16" fillId="0" borderId="8" xfId="0" applyNumberFormat="1" applyFont="1" applyBorder="1" applyAlignment="1"/>
    <xf numFmtId="165" fontId="27" fillId="0" borderId="12" xfId="0" applyNumberFormat="1" applyFont="1" applyBorder="1" applyAlignment="1"/>
    <xf numFmtId="165" fontId="16" fillId="0" borderId="4" xfId="0" applyNumberFormat="1" applyFont="1" applyBorder="1" applyAlignment="1"/>
    <xf numFmtId="165" fontId="16" fillId="0" borderId="9" xfId="0" applyNumberFormat="1" applyFont="1" applyBorder="1" applyAlignment="1"/>
    <xf numFmtId="165" fontId="27" fillId="0" borderId="13" xfId="0" applyNumberFormat="1" applyFont="1" applyBorder="1" applyAlignment="1"/>
    <xf numFmtId="165" fontId="5" fillId="6" borderId="2" xfId="0" applyNumberFormat="1" applyFont="1" applyFill="1" applyBorder="1" applyAlignment="1"/>
    <xf numFmtId="165" fontId="5" fillId="6" borderId="5" xfId="0" applyNumberFormat="1" applyFont="1" applyFill="1" applyBorder="1" applyAlignment="1"/>
    <xf numFmtId="165" fontId="24" fillId="6" borderId="7" xfId="0" applyNumberFormat="1" applyFont="1" applyFill="1" applyBorder="1" applyAlignment="1"/>
    <xf numFmtId="165" fontId="28" fillId="4" borderId="3" xfId="0" applyNumberFormat="1" applyFont="1" applyFill="1" applyBorder="1" applyAlignment="1"/>
    <xf numFmtId="165" fontId="28" fillId="4" borderId="10" xfId="0" applyNumberFormat="1" applyFont="1" applyFill="1" applyBorder="1" applyAlignment="1"/>
    <xf numFmtId="165" fontId="29" fillId="4" borderId="32" xfId="0" applyNumberFormat="1" applyFont="1" applyFill="1" applyBorder="1" applyAlignment="1"/>
    <xf numFmtId="165" fontId="28" fillId="4" borderId="4" xfId="0" applyNumberFormat="1" applyFont="1" applyFill="1" applyBorder="1" applyAlignment="1"/>
    <xf numFmtId="165" fontId="28" fillId="4" borderId="9" xfId="0" applyNumberFormat="1" applyFont="1" applyFill="1" applyBorder="1" applyAlignment="1"/>
    <xf numFmtId="165" fontId="29" fillId="4" borderId="13" xfId="0" applyNumberFormat="1" applyFont="1" applyFill="1" applyBorder="1" applyAlignment="1"/>
    <xf numFmtId="0" fontId="42" fillId="0" borderId="0" xfId="2"/>
    <xf numFmtId="0" fontId="46" fillId="0" borderId="0" xfId="2" applyFont="1"/>
    <xf numFmtId="0" fontId="47" fillId="0" borderId="0" xfId="2" applyFont="1"/>
    <xf numFmtId="0" fontId="48" fillId="0" borderId="40" xfId="2" quotePrefix="1" applyFont="1" applyBorder="1" applyAlignment="1">
      <alignment horizontal="justify" vertical="center" wrapText="1"/>
    </xf>
    <xf numFmtId="0" fontId="47" fillId="0" borderId="25" xfId="2" applyFont="1" applyBorder="1"/>
    <xf numFmtId="0" fontId="47" fillId="0" borderId="23" xfId="2" applyFont="1" applyBorder="1"/>
    <xf numFmtId="0" fontId="42" fillId="0" borderId="23" xfId="2" applyBorder="1" applyAlignment="1"/>
    <xf numFmtId="0" fontId="49" fillId="8" borderId="24" xfId="2" applyFont="1" applyFill="1" applyBorder="1" applyAlignment="1">
      <alignment vertical="center" wrapText="1"/>
    </xf>
    <xf numFmtId="0" fontId="48" fillId="0" borderId="42" xfId="2" applyFont="1" applyBorder="1" applyAlignment="1">
      <alignment horizontal="justify" vertical="center" wrapText="1"/>
    </xf>
    <xf numFmtId="0" fontId="49" fillId="8" borderId="19" xfId="2" applyFont="1" applyFill="1" applyBorder="1" applyAlignment="1">
      <alignment vertical="center" wrapText="1"/>
    </xf>
    <xf numFmtId="0" fontId="48" fillId="0" borderId="40" xfId="2" applyFont="1" applyBorder="1" applyAlignment="1">
      <alignment horizontal="justify" vertical="center" wrapText="1"/>
    </xf>
    <xf numFmtId="0" fontId="50" fillId="0" borderId="0" xfId="2" applyFont="1"/>
    <xf numFmtId="0" fontId="52" fillId="0" borderId="0" xfId="2" applyFont="1"/>
    <xf numFmtId="0" fontId="49" fillId="8" borderId="26" xfId="2" applyFont="1" applyFill="1" applyBorder="1" applyAlignment="1">
      <alignment vertical="center" wrapText="1"/>
    </xf>
    <xf numFmtId="0" fontId="49" fillId="8" borderId="2" xfId="2" applyFont="1" applyFill="1" applyBorder="1" applyAlignment="1">
      <alignment vertical="center" wrapText="1"/>
    </xf>
    <xf numFmtId="0" fontId="49" fillId="8" borderId="2" xfId="2" applyFont="1" applyFill="1" applyBorder="1" applyAlignment="1">
      <alignment horizontal="justify" vertical="center" wrapText="1"/>
    </xf>
    <xf numFmtId="0" fontId="49" fillId="8" borderId="20" xfId="2" applyFont="1" applyFill="1" applyBorder="1" applyAlignment="1">
      <alignment vertical="center" wrapText="1"/>
    </xf>
    <xf numFmtId="0" fontId="42" fillId="0" borderId="0" xfId="0" applyFont="1"/>
    <xf numFmtId="0" fontId="46" fillId="0" borderId="42" xfId="2" applyFont="1" applyBorder="1" applyAlignment="1">
      <alignment horizontal="justify" vertical="center" wrapText="1"/>
    </xf>
    <xf numFmtId="0" fontId="46" fillId="0" borderId="41" xfId="2" quotePrefix="1" applyFont="1" applyBorder="1" applyAlignment="1">
      <alignment horizontal="justify" vertical="center" wrapText="1"/>
    </xf>
    <xf numFmtId="0" fontId="46" fillId="0" borderId="40" xfId="2" applyFont="1" applyBorder="1" applyAlignment="1">
      <alignment horizontal="justify" vertical="center" wrapText="1"/>
    </xf>
    <xf numFmtId="0" fontId="55" fillId="8" borderId="16" xfId="2" applyFont="1" applyFill="1" applyBorder="1" applyAlignment="1">
      <alignment horizontal="center" vertical="center" wrapText="1"/>
    </xf>
    <xf numFmtId="0" fontId="46" fillId="0" borderId="49" xfId="2" quotePrefix="1" applyFont="1" applyBorder="1" applyAlignment="1">
      <alignment horizontal="justify" vertical="center" wrapText="1"/>
    </xf>
    <xf numFmtId="0" fontId="42" fillId="0" borderId="0" xfId="0" applyFont="1" applyAlignment="1">
      <alignment wrapText="1"/>
    </xf>
    <xf numFmtId="0" fontId="46" fillId="0" borderId="48" xfId="2" quotePrefix="1" applyFont="1" applyBorder="1" applyAlignment="1">
      <alignment horizontal="justify" vertical="center" wrapText="1"/>
    </xf>
    <xf numFmtId="0" fontId="42" fillId="0" borderId="0" xfId="0" applyFont="1" applyAlignment="1">
      <alignment horizontal="center"/>
    </xf>
    <xf numFmtId="0" fontId="48" fillId="0" borderId="41" xfId="2" applyFont="1" applyBorder="1" applyAlignment="1">
      <alignment horizontal="justify" vertical="center" wrapText="1"/>
    </xf>
    <xf numFmtId="0" fontId="46" fillId="0" borderId="42" xfId="2" quotePrefix="1" applyFont="1" applyBorder="1" applyAlignment="1">
      <alignment horizontal="left" vertical="center" wrapText="1"/>
    </xf>
    <xf numFmtId="0" fontId="46" fillId="0" borderId="40" xfId="2" quotePrefix="1" applyFont="1" applyBorder="1" applyAlignment="1">
      <alignment horizontal="left" vertical="center" wrapText="1"/>
    </xf>
    <xf numFmtId="0" fontId="19" fillId="0" borderId="0" xfId="0" applyFont="1" applyBorder="1" applyAlignment="1">
      <alignment horizontal="center" vertical="center"/>
    </xf>
    <xf numFmtId="0" fontId="42" fillId="0" borderId="0" xfId="0" applyFont="1" applyBorder="1"/>
    <xf numFmtId="0" fontId="57" fillId="0" borderId="0" xfId="0" applyFont="1" applyBorder="1"/>
    <xf numFmtId="0" fontId="57" fillId="0" borderId="0" xfId="0" applyFont="1"/>
    <xf numFmtId="0" fontId="19" fillId="0" borderId="0" xfId="0" applyFont="1" applyBorder="1" applyAlignment="1">
      <alignment horizontal="left" vertical="center"/>
    </xf>
    <xf numFmtId="0" fontId="57" fillId="0" borderId="45" xfId="0" applyFont="1" applyBorder="1"/>
    <xf numFmtId="0" fontId="57" fillId="0" borderId="46" xfId="0" applyFont="1" applyBorder="1"/>
    <xf numFmtId="0" fontId="57" fillId="0" borderId="50" xfId="0" applyFont="1" applyBorder="1"/>
    <xf numFmtId="3" fontId="8" fillId="2" borderId="49" xfId="0" applyNumberFormat="1" applyFont="1" applyFill="1" applyBorder="1" applyProtection="1">
      <protection locked="0"/>
    </xf>
    <xf numFmtId="3" fontId="8" fillId="2" borderId="51" xfId="0" applyNumberFormat="1" applyFont="1" applyFill="1" applyBorder="1" applyProtection="1">
      <protection locked="0"/>
    </xf>
    <xf numFmtId="167" fontId="43" fillId="0" borderId="6" xfId="1" applyNumberFormat="1" applyFont="1" applyBorder="1" applyAlignment="1" applyProtection="1">
      <alignment vertical="center"/>
    </xf>
    <xf numFmtId="166" fontId="43" fillId="0" borderId="5" xfId="1" applyFont="1" applyBorder="1" applyAlignment="1" applyProtection="1">
      <alignment vertical="center"/>
    </xf>
    <xf numFmtId="166" fontId="43" fillId="0" borderId="6" xfId="1" applyFont="1" applyBorder="1" applyAlignment="1" applyProtection="1">
      <alignment vertical="center"/>
    </xf>
    <xf numFmtId="0" fontId="0" fillId="0" borderId="0" xfId="0" applyAlignment="1">
      <alignment horizontal="left" vertical="center"/>
    </xf>
    <xf numFmtId="1" fontId="60" fillId="0" borderId="6" xfId="0" applyNumberFormat="1" applyFont="1" applyBorder="1" applyAlignment="1">
      <alignment horizontal="center" vertical="center" wrapText="1"/>
    </xf>
    <xf numFmtId="0" fontId="55" fillId="8" borderId="47" xfId="2" applyFont="1" applyFill="1" applyBorder="1" applyAlignment="1">
      <alignment horizontal="center" vertical="center" wrapText="1"/>
    </xf>
    <xf numFmtId="3" fontId="42" fillId="2" borderId="2" xfId="0" applyNumberFormat="1" applyFont="1" applyFill="1" applyBorder="1" applyAlignment="1" applyProtection="1">
      <alignment horizontal="right"/>
      <protection locked="0"/>
    </xf>
    <xf numFmtId="0" fontId="4" fillId="4" borderId="2" xfId="0" applyFont="1" applyFill="1" applyBorder="1" applyAlignment="1">
      <alignment horizontal="center" vertical="center"/>
    </xf>
    <xf numFmtId="0" fontId="46" fillId="0" borderId="42" xfId="2" quotePrefix="1" applyFont="1" applyBorder="1" applyAlignment="1">
      <alignment horizontal="justify" vertical="center" wrapText="1"/>
    </xf>
    <xf numFmtId="0" fontId="46" fillId="0" borderId="40" xfId="2" quotePrefix="1" applyFont="1" applyBorder="1" applyAlignment="1">
      <alignment horizontal="justify" vertical="center" wrapText="1"/>
    </xf>
    <xf numFmtId="0" fontId="42" fillId="0" borderId="0" xfId="0" applyFont="1" applyBorder="1" applyAlignment="1">
      <alignment horizontal="center" vertical="center" wrapText="1"/>
    </xf>
    <xf numFmtId="0" fontId="42" fillId="0" borderId="0" xfId="0" applyFont="1" applyBorder="1" applyAlignment="1">
      <alignment wrapText="1"/>
    </xf>
    <xf numFmtId="165" fontId="33" fillId="0" borderId="7" xfId="0" applyNumberFormat="1" applyFont="1" applyBorder="1" applyAlignment="1"/>
    <xf numFmtId="0" fontId="14" fillId="0" borderId="2" xfId="0" applyFont="1" applyBorder="1" applyAlignment="1" applyProtection="1">
      <alignment horizontal="left" vertical="center" wrapText="1"/>
    </xf>
    <xf numFmtId="0" fontId="14" fillId="0" borderId="2" xfId="0" applyFont="1" applyBorder="1" applyAlignment="1" applyProtection="1">
      <alignment horizontal="left" vertical="center" wrapText="1"/>
      <protection locked="0"/>
    </xf>
    <xf numFmtId="0" fontId="0" fillId="0" borderId="24" xfId="0" applyFont="1" applyBorder="1" applyAlignment="1">
      <alignment horizontal="left"/>
    </xf>
    <xf numFmtId="172" fontId="43" fillId="0" borderId="6" xfId="1" applyNumberFormat="1" applyFont="1" applyBorder="1" applyAlignment="1" applyProtection="1">
      <alignment horizontal="right" vertical="center" wrapText="1"/>
    </xf>
    <xf numFmtId="172" fontId="43" fillId="0" borderId="6" xfId="1" applyNumberFormat="1" applyFont="1" applyBorder="1" applyAlignment="1" applyProtection="1">
      <alignment horizontal="right" vertical="center"/>
    </xf>
    <xf numFmtId="166" fontId="14" fillId="0" borderId="1" xfId="1" applyFont="1" applyBorder="1" applyAlignment="1" applyProtection="1">
      <alignment vertical="center"/>
    </xf>
    <xf numFmtId="165" fontId="33" fillId="0" borderId="7" xfId="0" applyNumberFormat="1" applyFont="1" applyBorder="1" applyAlignment="1">
      <alignment vertical="center"/>
    </xf>
    <xf numFmtId="165" fontId="26" fillId="5" borderId="7" xfId="0" applyNumberFormat="1" applyFont="1" applyFill="1" applyBorder="1" applyAlignment="1">
      <alignment vertical="center"/>
    </xf>
    <xf numFmtId="165" fontId="25" fillId="5" borderId="2" xfId="0" applyNumberFormat="1" applyFont="1" applyFill="1" applyBorder="1" applyAlignment="1">
      <alignment vertical="center"/>
    </xf>
    <xf numFmtId="165" fontId="25" fillId="5" borderId="5" xfId="0" applyNumberFormat="1" applyFont="1" applyFill="1" applyBorder="1" applyAlignment="1">
      <alignment vertical="center"/>
    </xf>
    <xf numFmtId="165" fontId="25" fillId="5" borderId="2" xfId="0" applyNumberFormat="1" applyFont="1" applyFill="1" applyBorder="1" applyAlignment="1">
      <alignment vertical="center" wrapText="1"/>
    </xf>
    <xf numFmtId="0" fontId="16" fillId="9" borderId="2" xfId="0" applyFont="1" applyFill="1" applyBorder="1" applyAlignment="1">
      <alignment vertical="center"/>
    </xf>
    <xf numFmtId="165" fontId="5" fillId="9" borderId="5" xfId="0" applyNumberFormat="1" applyFont="1" applyFill="1" applyBorder="1" applyAlignment="1">
      <alignment horizontal="right" vertical="center"/>
    </xf>
    <xf numFmtId="166" fontId="35" fillId="9" borderId="7" xfId="0" applyNumberFormat="1" applyFont="1" applyFill="1" applyBorder="1" applyAlignment="1">
      <alignment horizontal="right" vertical="center"/>
    </xf>
    <xf numFmtId="166" fontId="35" fillId="9" borderId="6" xfId="0" applyNumberFormat="1" applyFont="1" applyFill="1" applyBorder="1" applyAlignment="1">
      <alignment horizontal="right" vertical="center"/>
    </xf>
    <xf numFmtId="165" fontId="24" fillId="9" borderId="7" xfId="0" applyNumberFormat="1" applyFont="1" applyFill="1" applyBorder="1" applyAlignment="1">
      <alignment horizontal="center" vertical="center"/>
    </xf>
    <xf numFmtId="0" fontId="16" fillId="9" borderId="2" xfId="0" applyFont="1" applyFill="1" applyBorder="1"/>
    <xf numFmtId="165" fontId="5" fillId="9" borderId="5" xfId="0" applyNumberFormat="1" applyFont="1" applyFill="1" applyBorder="1" applyAlignment="1">
      <alignment horizontal="right"/>
    </xf>
    <xf numFmtId="166" fontId="35" fillId="9" borderId="7" xfId="0" applyNumberFormat="1" applyFont="1" applyFill="1" applyBorder="1" applyAlignment="1">
      <alignment horizontal="right"/>
    </xf>
    <xf numFmtId="166" fontId="35" fillId="9" borderId="6" xfId="0" applyNumberFormat="1" applyFont="1" applyFill="1" applyBorder="1" applyAlignment="1">
      <alignment horizontal="right"/>
    </xf>
    <xf numFmtId="165" fontId="24" fillId="9" borderId="7" xfId="0" applyNumberFormat="1" applyFont="1" applyFill="1" applyBorder="1" applyAlignment="1">
      <alignment horizontal="center"/>
    </xf>
    <xf numFmtId="0" fontId="16" fillId="10" borderId="3" xfId="0" applyFont="1" applyFill="1" applyBorder="1"/>
    <xf numFmtId="165" fontId="16" fillId="10" borderId="10" xfId="0" applyNumberFormat="1" applyFont="1" applyFill="1" applyBorder="1" applyAlignment="1">
      <alignment horizontal="right"/>
    </xf>
    <xf numFmtId="166" fontId="36" fillId="10" borderId="32" xfId="0" applyNumberFormat="1" applyFont="1" applyFill="1" applyBorder="1" applyAlignment="1">
      <alignment horizontal="right"/>
    </xf>
    <xf numFmtId="166" fontId="36" fillId="11" borderId="0" xfId="0" applyNumberFormat="1" applyFont="1" applyFill="1" applyBorder="1" applyAlignment="1">
      <alignment horizontal="right"/>
    </xf>
    <xf numFmtId="165" fontId="27" fillId="10" borderId="32" xfId="0" applyNumberFormat="1" applyFont="1" applyFill="1" applyBorder="1" applyAlignment="1">
      <alignment horizontal="center"/>
    </xf>
    <xf numFmtId="0" fontId="16" fillId="10" borderId="4" xfId="0" applyFont="1" applyFill="1" applyBorder="1"/>
    <xf numFmtId="165" fontId="16" fillId="10" borderId="9" xfId="0" applyNumberFormat="1" applyFont="1" applyFill="1" applyBorder="1" applyAlignment="1">
      <alignment horizontal="right"/>
    </xf>
    <xf numFmtId="166" fontId="36" fillId="10" borderId="13" xfId="0" applyNumberFormat="1" applyFont="1" applyFill="1" applyBorder="1" applyAlignment="1">
      <alignment horizontal="right"/>
    </xf>
    <xf numFmtId="165" fontId="27" fillId="10" borderId="13" xfId="0" applyNumberFormat="1" applyFont="1" applyFill="1" applyBorder="1" applyAlignment="1">
      <alignment horizontal="center"/>
    </xf>
    <xf numFmtId="0" fontId="12" fillId="4" borderId="2" xfId="0" applyFont="1" applyFill="1" applyBorder="1" applyAlignment="1">
      <alignment horizontal="center"/>
    </xf>
    <xf numFmtId="0" fontId="15" fillId="0" borderId="0" xfId="0" applyFont="1" applyBorder="1" applyAlignment="1">
      <alignment wrapText="1"/>
    </xf>
    <xf numFmtId="0" fontId="1" fillId="0" borderId="0" xfId="0" applyFont="1" applyBorder="1" applyAlignment="1">
      <alignment horizontal="center"/>
    </xf>
    <xf numFmtId="0" fontId="2" fillId="0" borderId="1" xfId="0" applyFont="1" applyBorder="1" applyAlignment="1">
      <alignment horizontal="right" vertical="top"/>
    </xf>
    <xf numFmtId="0" fontId="4" fillId="2" borderId="2" xfId="0" applyFont="1" applyFill="1" applyBorder="1" applyAlignment="1" applyProtection="1">
      <alignment horizontal="center" vertical="center" wrapText="1"/>
      <protection locked="0"/>
    </xf>
    <xf numFmtId="0" fontId="9"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4" fillId="0" borderId="2" xfId="0" applyFont="1" applyBorder="1" applyAlignment="1">
      <alignment horizontal="center" vertical="center"/>
    </xf>
    <xf numFmtId="0" fontId="2" fillId="4" borderId="2" xfId="0" applyFont="1" applyFill="1" applyBorder="1" applyAlignment="1">
      <alignment horizontal="center" vertical="center"/>
    </xf>
    <xf numFmtId="0" fontId="9" fillId="3" borderId="2" xfId="0" applyFont="1" applyFill="1" applyBorder="1" applyAlignment="1">
      <alignment horizontal="center" vertical="center"/>
    </xf>
    <xf numFmtId="0" fontId="10" fillId="3" borderId="7" xfId="0" applyFont="1" applyFill="1" applyBorder="1" applyAlignment="1">
      <alignment horizontal="center" vertical="center" wrapText="1"/>
    </xf>
    <xf numFmtId="0" fontId="5" fillId="0" borderId="8" xfId="0" applyFont="1" applyBorder="1" applyAlignment="1" applyProtection="1">
      <alignment horizontal="center" vertical="top"/>
      <protection locked="0"/>
    </xf>
    <xf numFmtId="0" fontId="4" fillId="5" borderId="15" xfId="0" applyFont="1" applyFill="1" applyBorder="1" applyAlignment="1">
      <alignment horizontal="center" vertical="center"/>
    </xf>
    <xf numFmtId="0" fontId="4" fillId="5" borderId="15" xfId="0" applyFont="1" applyFill="1" applyBorder="1" applyAlignment="1">
      <alignment horizontal="center" vertical="center" wrapText="1"/>
    </xf>
    <xf numFmtId="0" fontId="8" fillId="6" borderId="19" xfId="0" applyFont="1" applyFill="1" applyBorder="1" applyAlignment="1">
      <alignment horizontal="left"/>
    </xf>
    <xf numFmtId="0" fontId="0" fillId="0" borderId="22" xfId="0" applyFont="1" applyBorder="1" applyAlignment="1">
      <alignment horizontal="left"/>
    </xf>
    <xf numFmtId="0" fontId="0" fillId="0" borderId="24" xfId="0" applyFont="1" applyBorder="1" applyAlignment="1">
      <alignment horizontal="left"/>
    </xf>
    <xf numFmtId="0" fontId="17" fillId="0" borderId="24" xfId="0" applyFont="1" applyBorder="1" applyAlignment="1">
      <alignment horizontal="left"/>
    </xf>
    <xf numFmtId="0" fontId="0" fillId="0" borderId="27" xfId="0" applyFont="1" applyBorder="1" applyAlignment="1">
      <alignment horizontal="left"/>
    </xf>
    <xf numFmtId="0" fontId="0" fillId="0" borderId="28" xfId="0" applyFont="1" applyBorder="1" applyAlignment="1">
      <alignment horizontal="left"/>
    </xf>
    <xf numFmtId="0" fontId="14" fillId="0" borderId="27" xfId="0" applyFont="1" applyBorder="1" applyAlignment="1">
      <alignment horizontal="left"/>
    </xf>
    <xf numFmtId="0" fontId="8" fillId="0" borderId="16" xfId="0" applyFont="1" applyBorder="1" applyAlignment="1">
      <alignment horizontal="left"/>
    </xf>
    <xf numFmtId="0" fontId="0" fillId="0" borderId="24" xfId="0" applyFont="1" applyBorder="1" applyAlignment="1">
      <alignment horizontal="left" vertical="top" wrapText="1"/>
    </xf>
    <xf numFmtId="0" fontId="0" fillId="0" borderId="27" xfId="0" applyBorder="1" applyAlignment="1">
      <alignment horizontal="center" vertical="top" wrapText="1"/>
    </xf>
    <xf numFmtId="0" fontId="20" fillId="0" borderId="16" xfId="0" applyFont="1" applyBorder="1" applyAlignment="1">
      <alignment horizontal="left"/>
    </xf>
    <xf numFmtId="0" fontId="8" fillId="7" borderId="28" xfId="0" applyFont="1" applyFill="1" applyBorder="1" applyAlignment="1">
      <alignment horizontal="left"/>
    </xf>
    <xf numFmtId="0" fontId="8" fillId="5" borderId="17" xfId="0" applyFont="1" applyFill="1" applyBorder="1" applyAlignment="1">
      <alignment horizontal="center"/>
    </xf>
    <xf numFmtId="0" fontId="4" fillId="7" borderId="2" xfId="0" applyFont="1" applyFill="1" applyBorder="1" applyAlignment="1">
      <alignment horizontal="left"/>
    </xf>
    <xf numFmtId="0" fontId="48" fillId="0" borderId="41" xfId="2" applyFont="1" applyBorder="1" applyAlignment="1">
      <alignment horizontal="justify" vertical="center" wrapText="1"/>
    </xf>
    <xf numFmtId="0" fontId="51" fillId="8" borderId="15" xfId="2" applyFont="1" applyFill="1" applyBorder="1" applyAlignment="1">
      <alignment horizontal="center" vertical="center" wrapText="1"/>
    </xf>
    <xf numFmtId="0" fontId="51" fillId="8" borderId="44" xfId="2" applyFont="1" applyFill="1" applyBorder="1" applyAlignment="1">
      <alignment horizontal="center" vertical="center" wrapText="1"/>
    </xf>
    <xf numFmtId="0" fontId="49" fillId="8" borderId="24" xfId="2" applyFont="1" applyFill="1" applyBorder="1" applyAlignment="1">
      <alignment vertical="center" wrapText="1"/>
    </xf>
    <xf numFmtId="0" fontId="49" fillId="8" borderId="27" xfId="2" applyFont="1" applyFill="1" applyBorder="1" applyAlignment="1">
      <alignment vertical="center" wrapText="1"/>
    </xf>
    <xf numFmtId="0" fontId="54" fillId="0" borderId="0" xfId="2" applyFont="1" applyBorder="1" applyAlignment="1">
      <alignment horizontal="left"/>
    </xf>
    <xf numFmtId="0" fontId="53" fillId="0" borderId="0" xfId="2" applyFont="1" applyBorder="1" applyAlignment="1">
      <alignment horizontal="left"/>
    </xf>
    <xf numFmtId="0" fontId="47" fillId="0" borderId="19" xfId="2" applyFont="1" applyBorder="1" applyAlignment="1">
      <alignment vertical="center"/>
    </xf>
    <xf numFmtId="0" fontId="47" fillId="0" borderId="24" xfId="2" applyFont="1" applyBorder="1" applyAlignment="1">
      <alignment vertical="center"/>
    </xf>
    <xf numFmtId="0" fontId="47" fillId="0" borderId="27" xfId="2" applyFont="1" applyBorder="1" applyAlignment="1">
      <alignment vertical="center"/>
    </xf>
    <xf numFmtId="0" fontId="47" fillId="0" borderId="43" xfId="2" applyFont="1" applyBorder="1" applyAlignment="1">
      <alignment vertical="center"/>
    </xf>
    <xf numFmtId="0" fontId="47" fillId="0" borderId="23" xfId="2" applyFont="1" applyBorder="1" applyAlignment="1">
      <alignment vertical="center"/>
    </xf>
    <xf numFmtId="0" fontId="42" fillId="0" borderId="25" xfId="2" applyBorder="1" applyAlignment="1"/>
    <xf numFmtId="0" fontId="47" fillId="0" borderId="45" xfId="2" applyFont="1" applyBorder="1" applyAlignment="1">
      <alignment vertical="center"/>
    </xf>
    <xf numFmtId="0" fontId="42" fillId="0" borderId="46" xfId="2" applyBorder="1" applyAlignment="1">
      <alignment vertical="center"/>
    </xf>
    <xf numFmtId="0" fontId="21"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0" fontId="8" fillId="0" borderId="7" xfId="0" applyFont="1" applyBorder="1" applyAlignment="1" applyProtection="1">
      <alignment horizontal="center" vertical="center" wrapText="1"/>
    </xf>
    <xf numFmtId="2" fontId="4" fillId="0" borderId="26" xfId="0" applyNumberFormat="1" applyFont="1" applyBorder="1" applyAlignment="1" applyProtection="1">
      <alignment horizontal="center" wrapText="1"/>
      <protection locked="0"/>
    </xf>
    <xf numFmtId="1" fontId="4" fillId="0" borderId="2" xfId="0" applyNumberFormat="1" applyFont="1" applyBorder="1" applyAlignment="1">
      <alignment horizontal="center" vertical="center"/>
    </xf>
    <xf numFmtId="1" fontId="4" fillId="0" borderId="5" xfId="0" applyNumberFormat="1" applyFont="1" applyBorder="1" applyAlignment="1">
      <alignment horizontal="center" vertical="center"/>
    </xf>
    <xf numFmtId="0" fontId="4" fillId="4" borderId="2" xfId="0" applyFont="1" applyFill="1" applyBorder="1" applyAlignment="1">
      <alignment horizontal="center" vertical="center" wrapText="1"/>
    </xf>
    <xf numFmtId="0" fontId="4" fillId="4" borderId="2" xfId="0" applyFont="1" applyFill="1" applyBorder="1" applyAlignment="1">
      <alignment horizontal="center" vertical="center"/>
    </xf>
    <xf numFmtId="0" fontId="16" fillId="0" borderId="4" xfId="0" applyFont="1" applyBorder="1" applyAlignment="1" applyProtection="1">
      <alignment horizontal="center" vertical="center" wrapText="1"/>
      <protection locked="0"/>
    </xf>
    <xf numFmtId="0" fontId="16" fillId="0" borderId="4" xfId="0" applyFont="1" applyBorder="1" applyAlignment="1" applyProtection="1">
      <alignment horizontal="left" vertical="center" wrapText="1"/>
      <protection locked="0"/>
    </xf>
    <xf numFmtId="0" fontId="16" fillId="0" borderId="2" xfId="0" applyFont="1" applyBorder="1" applyAlignment="1" applyProtection="1">
      <alignment horizontal="center" vertical="center" wrapText="1"/>
      <protection locked="0"/>
    </xf>
    <xf numFmtId="0" fontId="16" fillId="0" borderId="2" xfId="0" applyFont="1" applyBorder="1" applyAlignment="1" applyProtection="1">
      <alignment horizontal="left" vertical="center" wrapText="1"/>
      <protection locked="0"/>
    </xf>
    <xf numFmtId="0" fontId="16" fillId="4" borderId="2" xfId="0" applyFont="1" applyFill="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59" fillId="0" borderId="0" xfId="0" applyFont="1" applyBorder="1" applyAlignment="1">
      <alignment horizontal="center" vertical="center"/>
    </xf>
    <xf numFmtId="0" fontId="58" fillId="0" borderId="45" xfId="2" applyFont="1" applyBorder="1" applyAlignment="1">
      <alignment vertical="center" textRotation="90"/>
    </xf>
    <xf numFmtId="0" fontId="58" fillId="0" borderId="46" xfId="2" applyFont="1" applyBorder="1" applyAlignment="1">
      <alignment vertical="center" textRotation="90"/>
    </xf>
    <xf numFmtId="0" fontId="58" fillId="0" borderId="50" xfId="2" applyFont="1" applyBorder="1" applyAlignment="1">
      <alignment vertical="center" textRotation="90"/>
    </xf>
    <xf numFmtId="0" fontId="58" fillId="0" borderId="45" xfId="2" applyFont="1" applyBorder="1" applyAlignment="1">
      <alignment horizontal="center" vertical="center" textRotation="90"/>
    </xf>
    <xf numFmtId="0" fontId="58" fillId="0" borderId="46" xfId="2" applyFont="1" applyBorder="1" applyAlignment="1">
      <alignment horizontal="center" vertical="center" textRotation="90"/>
    </xf>
    <xf numFmtId="0" fontId="58" fillId="0" borderId="50" xfId="2" applyFont="1" applyBorder="1" applyAlignment="1">
      <alignment horizontal="center" vertical="center" textRotation="90"/>
    </xf>
    <xf numFmtId="0" fontId="55" fillId="8" borderId="47" xfId="2" applyFont="1" applyFill="1" applyBorder="1" applyAlignment="1">
      <alignment horizontal="center" vertical="center" wrapText="1"/>
    </xf>
    <xf numFmtId="0" fontId="55" fillId="8" borderId="22" xfId="2" applyFont="1" applyFill="1" applyBorder="1" applyAlignment="1">
      <alignment horizontal="center" vertical="center" wrapText="1"/>
    </xf>
    <xf numFmtId="0" fontId="55" fillId="8" borderId="28" xfId="2" applyFont="1" applyFill="1" applyBorder="1" applyAlignment="1">
      <alignment horizontal="center" vertical="center" wrapText="1"/>
    </xf>
    <xf numFmtId="0" fontId="55" fillId="8" borderId="19" xfId="2" applyFont="1" applyFill="1" applyBorder="1" applyAlignment="1">
      <alignment horizontal="center" vertical="center" wrapText="1"/>
    </xf>
    <xf numFmtId="0" fontId="55" fillId="8" borderId="27" xfId="2" applyFont="1" applyFill="1" applyBorder="1" applyAlignment="1">
      <alignment horizontal="center" vertical="center" wrapText="1"/>
    </xf>
  </cellXfs>
  <cellStyles count="3">
    <cellStyle name="Normal" xfId="0" builtinId="0"/>
    <cellStyle name="Normal 2" xfId="2"/>
    <cellStyle name="Texte explicatif" xfId="1" builtinId="53" customBuiltin="1"/>
  </cellStyles>
  <dxfs count="25">
    <dxf>
      <font>
        <color auto="1"/>
      </font>
    </dxf>
    <dxf>
      <font>
        <color rgb="FFFF0000"/>
      </font>
      <alignment horizontal="general" vertical="bottom" textRotation="0" wrapText="0" indent="0" shrinkToFit="0" readingOrder="1"/>
    </dxf>
    <dxf>
      <font>
        <color rgb="FF00B050"/>
      </font>
    </dxf>
    <dxf>
      <font>
        <color auto="1"/>
      </font>
    </dxf>
    <dxf>
      <font>
        <color rgb="FFFF0000"/>
      </font>
      <alignment horizontal="general" vertical="bottom" textRotation="0" wrapText="0" indent="0" shrinkToFit="0" readingOrder="1"/>
    </dxf>
    <dxf>
      <font>
        <color rgb="FF00B050"/>
      </font>
    </dxf>
    <dxf>
      <font>
        <color rgb="FFFF0000"/>
      </font>
    </dxf>
    <dxf>
      <font>
        <color rgb="FF00B050"/>
      </font>
    </dxf>
    <dxf>
      <font>
        <color rgb="FFFF0000"/>
      </font>
    </dxf>
    <dxf>
      <font>
        <color rgb="FFFF0000"/>
      </font>
    </dxf>
    <dxf>
      <font>
        <color rgb="FFFF0000"/>
      </font>
    </dxf>
    <dxf>
      <font>
        <color rgb="FF00B050"/>
      </font>
      <alignment horizontal="general" vertical="bottom" textRotation="0" wrapText="0" indent="0" shrinkToFit="0" readingOrder="1"/>
    </dxf>
    <dxf>
      <font>
        <color rgb="FFFF0000"/>
      </font>
    </dxf>
    <dxf>
      <font>
        <color rgb="FF00B050"/>
      </font>
      <alignment horizontal="general" vertical="bottom" textRotation="0" wrapText="0" indent="0" shrinkToFit="0" readingOrder="1"/>
    </dxf>
    <dxf>
      <font>
        <color rgb="FFFF0000"/>
      </font>
    </dxf>
    <dxf>
      <alignment horizontal="general" vertical="bottom" textRotation="0" wrapText="0" indent="0" shrinkToFit="0" readingOrder="1"/>
    </dxf>
    <dxf>
      <alignment horizontal="general" vertical="bottom" textRotation="0" wrapText="0" indent="0" shrinkToFit="0" readingOrder="1"/>
    </dxf>
    <dxf>
      <alignment horizontal="general" vertical="bottom" textRotation="0" wrapText="0" indent="0" shrinkToFit="0" readingOrder="1"/>
    </dxf>
    <dxf>
      <alignment horizontal="general" vertical="bottom" textRotation="0" wrapText="0" indent="0" shrinkToFit="0" readingOrder="1"/>
    </dxf>
    <dxf>
      <alignment horizontal="general" vertical="bottom" textRotation="0" wrapText="0" indent="0" shrinkToFit="0" readingOrder="1"/>
    </dxf>
    <dxf>
      <font>
        <color rgb="FFFF0000"/>
      </font>
      <alignment horizontal="general" vertical="bottom" textRotation="0" wrapText="0" indent="0" shrinkToFit="0" readingOrder="1"/>
    </dxf>
    <dxf>
      <font>
        <strike val="0"/>
        <color auto="1"/>
      </font>
      <alignment horizontal="general" vertical="bottom" textRotation="0" wrapText="0" indent="0" shrinkToFit="0" readingOrder="1"/>
    </dxf>
    <dxf>
      <font>
        <color rgb="FF00B050"/>
      </font>
      <alignment horizontal="general" vertical="bottom" textRotation="0" wrapText="0" indent="0" shrinkToFit="0" readingOrder="1"/>
    </dxf>
    <dxf>
      <font>
        <color rgb="FF00B050"/>
      </font>
      <alignment horizontal="general" vertical="bottom" textRotation="0" wrapText="0" indent="0" shrinkToFit="0" readingOrder="1"/>
    </dxf>
    <dxf>
      <font>
        <color rgb="FFFF0000"/>
      </font>
      <alignment horizontal="general" vertical="bottom" textRotation="0" wrapText="0" indent="0" shrinkToFit="0" readingOrder="1"/>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4F81BD"/>
      <rgbColor rgb="FFC0C0C0"/>
      <rgbColor rgb="FF808080"/>
      <rgbColor rgb="FF9999FF"/>
      <rgbColor rgb="FFAA4643"/>
      <rgbColor rgb="FFFFFFCC"/>
      <rgbColor rgb="FFCCFFFF"/>
      <rgbColor rgb="FF660066"/>
      <rgbColor rgb="FFDB843D"/>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572A7"/>
      <rgbColor rgb="FF33CCCC"/>
      <rgbColor rgb="FF9BBB59"/>
      <rgbColor rgb="FFFFCC00"/>
      <rgbColor rgb="FFFF9900"/>
      <rgbColor rgb="FFFF6600"/>
      <rgbColor rgb="FF666699"/>
      <rgbColor rgb="FF89A54E"/>
      <rgbColor rgb="FF003366"/>
      <rgbColor rgb="FF4198AF"/>
      <rgbColor rgb="FF003300"/>
      <rgbColor rgb="FF314004"/>
      <rgbColor rgb="FF993300"/>
      <rgbColor rgb="FFC0504D"/>
      <rgbColor rgb="FF7158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title>
      <c:tx>
        <c:rich>
          <a:bodyPr rot="0"/>
          <a:lstStyle/>
          <a:p>
            <a:pPr>
              <a:defRPr sz="1600" b="1" strike="noStrike" spc="-1">
                <a:solidFill>
                  <a:srgbClr val="000000"/>
                </a:solidFill>
                <a:latin typeface="Calibri"/>
              </a:defRPr>
            </a:pPr>
            <a:r>
              <a:rPr lang="fr-FR" sz="1600" b="1" strike="noStrike" spc="-1">
                <a:solidFill>
                  <a:srgbClr val="000000"/>
                </a:solidFill>
                <a:latin typeface="Calibri"/>
              </a:rPr>
              <a:t>Structure du Bilan</a:t>
            </a:r>
          </a:p>
        </c:rich>
      </c:tx>
      <c:layout>
        <c:manualLayout>
          <c:xMode val="edge"/>
          <c:yMode val="edge"/>
          <c:x val="0.30022297465356684"/>
          <c:y val="1.7438549975007062E-2"/>
        </c:manualLayout>
      </c:layout>
      <c:overlay val="0"/>
    </c:title>
    <c:autoTitleDeleted val="0"/>
    <c:plotArea>
      <c:layout>
        <c:manualLayout>
          <c:xMode val="edge"/>
          <c:yMode val="edge"/>
          <c:x val="1.38898832963414E-2"/>
          <c:y val="2.4183956653891898E-2"/>
          <c:w val="0.95589604066728695"/>
          <c:h val="0.90855028412845296"/>
        </c:manualLayout>
      </c:layout>
      <c:barChart>
        <c:barDir val="col"/>
        <c:grouping val="clustered"/>
        <c:varyColors val="0"/>
        <c:ser>
          <c:idx val="0"/>
          <c:order val="0"/>
          <c:tx>
            <c:strRef>
              <c:f>'Ratios Bilan'!$C$10</c:f>
              <c:strCache>
                <c:ptCount val="1"/>
                <c:pt idx="0">
                  <c:v>2021</c:v>
                </c:pt>
              </c:strCache>
            </c:strRef>
          </c:tx>
          <c:spPr>
            <a:solidFill>
              <a:srgbClr val="4F81BD"/>
            </a:solidFill>
            <a:ln>
              <a:solidFill>
                <a:srgbClr val="FFFFFF"/>
              </a:solidFill>
            </a:ln>
          </c:spPr>
          <c:invertIfNegative val="0"/>
          <c:dLbls>
            <c:spPr>
              <a:noFill/>
              <a:ln>
                <a:noFill/>
              </a:ln>
              <a:effectLst/>
            </c:spPr>
            <c:dLblPos val="outEnd"/>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('Ratios Bilan'!$C$26,'Ratios Bilan'!$C$34,'Ratios Bilan'!$C$38)</c:f>
              <c:numCache>
                <c:formatCode>#\ ##0\ ;\-#\ ##0\ </c:formatCode>
                <c:ptCount val="3"/>
                <c:pt idx="0">
                  <c:v>0</c:v>
                </c:pt>
                <c:pt idx="1">
                  <c:v>0</c:v>
                </c:pt>
                <c:pt idx="2">
                  <c:v>0</c:v>
                </c:pt>
              </c:numCache>
            </c:numRef>
          </c:val>
          <c:extLst>
            <c:ext xmlns:c15="http://schemas.microsoft.com/office/drawing/2012/chart" uri="{02D57815-91ED-43cb-92C2-25804820EDAC}">
              <c15:filteredCategoryTitle>
                <c15:cat>
                  <c:strRef>
                    <c:extLst>
                      <c:ext uri="{02D57815-91ED-43cb-92C2-25804820EDAC}">
                        <c15:formulaRef>
                          <c15:sqref>categories</c15:sqref>
                        </c15:formulaRef>
                      </c:ext>
                    </c:extLst>
                    <c:strCache>
                      <c:ptCount val="3"/>
                      <c:pt idx="0">
                        <c:v>FR (Fonds de roulement)</c:v>
                      </c:pt>
                      <c:pt idx="1">
                        <c:v>BFR (Besoin en Fonds de Roulement)</c:v>
                      </c:pt>
                      <c:pt idx="2">
                        <c:v>Trésorerie (FR - BFR)</c:v>
                      </c:pt>
                    </c:strCache>
                  </c:strRef>
                </c15:cat>
              </c15:filteredCategoryTitle>
            </c:ext>
            <c:ext xmlns:c16="http://schemas.microsoft.com/office/drawing/2014/chart" uri="{C3380CC4-5D6E-409C-BE32-E72D297353CC}">
              <c16:uniqueId val="{00000000-2094-4334-BBE9-5889F5E1FA1D}"/>
            </c:ext>
          </c:extLst>
        </c:ser>
        <c:ser>
          <c:idx val="1"/>
          <c:order val="1"/>
          <c:tx>
            <c:strRef>
              <c:f>'Ratios Bilan'!$D$10</c:f>
              <c:strCache>
                <c:ptCount val="1"/>
                <c:pt idx="0">
                  <c:v>2022</c:v>
                </c:pt>
              </c:strCache>
            </c:strRef>
          </c:tx>
          <c:spPr>
            <a:solidFill>
              <a:srgbClr val="C0504D"/>
            </a:solidFill>
            <a:ln>
              <a:solidFill>
                <a:srgbClr val="FFFFFF"/>
              </a:solidFill>
            </a:ln>
          </c:spPr>
          <c:invertIfNegative val="0"/>
          <c:dLbls>
            <c:spPr>
              <a:noFill/>
              <a:ln>
                <a:noFill/>
              </a:ln>
              <a:effectLst/>
            </c:spPr>
            <c:dLblPos val="outEnd"/>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('Ratios Bilan'!$D$26,'Ratios Bilan'!$D$34,'Ratios Bilan'!$D$38)</c:f>
              <c:numCache>
                <c:formatCode>#\ ##0\ ;\-#\ ##0\ </c:formatCode>
                <c:ptCount val="3"/>
                <c:pt idx="0">
                  <c:v>0</c:v>
                </c:pt>
                <c:pt idx="1">
                  <c:v>0</c:v>
                </c:pt>
                <c:pt idx="2">
                  <c:v>0</c:v>
                </c:pt>
              </c:numCache>
            </c:numRef>
          </c:val>
          <c:extLst>
            <c:ext xmlns:c15="http://schemas.microsoft.com/office/drawing/2012/chart" uri="{02D57815-91ED-43cb-92C2-25804820EDAC}">
              <c15:filteredCategoryTitle>
                <c15:cat>
                  <c:strRef>
                    <c:extLst>
                      <c:ext uri="{02D57815-91ED-43cb-92C2-25804820EDAC}">
                        <c15:formulaRef>
                          <c15:sqref>categories</c15:sqref>
                        </c15:formulaRef>
                      </c:ext>
                    </c:extLst>
                    <c:strCache>
                      <c:ptCount val="3"/>
                      <c:pt idx="0">
                        <c:v>FR (Fonds de roulement)</c:v>
                      </c:pt>
                      <c:pt idx="1">
                        <c:v>BFR (Besoin en Fonds de Roulement)</c:v>
                      </c:pt>
                      <c:pt idx="2">
                        <c:v>Trésorerie (FR - BFR)</c:v>
                      </c:pt>
                    </c:strCache>
                  </c:strRef>
                </c15:cat>
              </c15:filteredCategoryTitle>
            </c:ext>
            <c:ext xmlns:c16="http://schemas.microsoft.com/office/drawing/2014/chart" uri="{C3380CC4-5D6E-409C-BE32-E72D297353CC}">
              <c16:uniqueId val="{00000001-2094-4334-BBE9-5889F5E1FA1D}"/>
            </c:ext>
          </c:extLst>
        </c:ser>
        <c:dLbls>
          <c:showLegendKey val="0"/>
          <c:showVal val="0"/>
          <c:showCatName val="0"/>
          <c:showSerName val="0"/>
          <c:showPercent val="0"/>
          <c:showBubbleSize val="0"/>
        </c:dLbls>
        <c:gapWidth val="75"/>
        <c:axId val="233179392"/>
        <c:axId val="233185280"/>
      </c:barChart>
      <c:catAx>
        <c:axId val="233179392"/>
        <c:scaling>
          <c:orientation val="minMax"/>
        </c:scaling>
        <c:delete val="0"/>
        <c:axPos val="b"/>
        <c:numFmt formatCode="General" sourceLinked="1"/>
        <c:majorTickMark val="none"/>
        <c:minorTickMark val="none"/>
        <c:tickLblPos val="low"/>
        <c:spPr>
          <a:ln>
            <a:solidFill>
              <a:srgbClr val="808080"/>
            </a:solidFill>
          </a:ln>
        </c:spPr>
        <c:txPr>
          <a:bodyPr/>
          <a:lstStyle/>
          <a:p>
            <a:pPr>
              <a:defRPr sz="1050" b="0" strike="noStrike" spc="-1">
                <a:solidFill>
                  <a:srgbClr val="000000"/>
                </a:solidFill>
                <a:latin typeface="Calibri"/>
              </a:defRPr>
            </a:pPr>
            <a:endParaRPr lang="fr-FR"/>
          </a:p>
        </c:txPr>
        <c:crossAx val="233185280"/>
        <c:crosses val="autoZero"/>
        <c:auto val="1"/>
        <c:lblAlgn val="ctr"/>
        <c:lblOffset val="100"/>
        <c:noMultiLvlLbl val="1"/>
      </c:catAx>
      <c:valAx>
        <c:axId val="233185280"/>
        <c:scaling>
          <c:orientation val="minMax"/>
        </c:scaling>
        <c:delete val="0"/>
        <c:axPos val="l"/>
        <c:numFmt formatCode="#,##0,;\-#,##0," sourceLinked="0"/>
        <c:majorTickMark val="none"/>
        <c:minorTickMark val="none"/>
        <c:tickLblPos val="nextTo"/>
        <c:spPr>
          <a:ln>
            <a:solidFill>
              <a:srgbClr val="808080"/>
            </a:solidFill>
          </a:ln>
        </c:spPr>
        <c:txPr>
          <a:bodyPr/>
          <a:lstStyle/>
          <a:p>
            <a:pPr>
              <a:defRPr sz="1000" b="0" strike="noStrike" spc="-1">
                <a:solidFill>
                  <a:srgbClr val="000000"/>
                </a:solidFill>
                <a:latin typeface="Calibri"/>
              </a:defRPr>
            </a:pPr>
            <a:endParaRPr lang="fr-FR"/>
          </a:p>
        </c:txPr>
        <c:crossAx val="233179392"/>
        <c:crossesAt val="1"/>
        <c:crossBetween val="between"/>
      </c:valAx>
      <c:spPr>
        <a:solidFill>
          <a:srgbClr val="FFFFFF"/>
        </a:solidFill>
        <a:ln>
          <a:noFill/>
        </a:ln>
      </c:spPr>
    </c:plotArea>
    <c:legend>
      <c:legendPos val="b"/>
      <c:layout>
        <c:manualLayout>
          <c:xMode val="edge"/>
          <c:yMode val="edge"/>
          <c:x val="0.72817522770208432"/>
          <c:y val="2.3808344018719348E-2"/>
          <c:w val="0.22471955079301778"/>
          <c:h val="7.4562406276487081E-2"/>
        </c:manualLayout>
      </c:layout>
      <c:overlay val="0"/>
      <c:spPr>
        <a:noFill/>
        <a:ln>
          <a:noFill/>
        </a:ln>
      </c:spPr>
      <c:txPr>
        <a:bodyPr/>
        <a:lstStyle/>
        <a:p>
          <a:pPr>
            <a:defRPr sz="1200" b="1" strike="noStrike" spc="-1">
              <a:solidFill>
                <a:srgbClr val="000000"/>
              </a:solidFill>
              <a:latin typeface="Calibri"/>
            </a:defRPr>
          </a:pPr>
          <a:endParaRPr lang="fr-FR"/>
        </a:p>
      </c:txPr>
    </c:legend>
    <c:plotVisOnly val="1"/>
    <c:dispBlanksAs val="gap"/>
    <c:showDLblsOverMax val="1"/>
  </c:chart>
  <c:spPr>
    <a:solidFill>
      <a:srgbClr val="FFFFFF"/>
    </a:solidFill>
    <a:ln>
      <a:solidFill>
        <a:srgbClr val="80808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title>
      <c:tx>
        <c:rich>
          <a:bodyPr rot="0"/>
          <a:lstStyle/>
          <a:p>
            <a:pPr>
              <a:defRPr sz="1600" b="1" strike="noStrike" spc="-1">
                <a:solidFill>
                  <a:srgbClr val="000000"/>
                </a:solidFill>
                <a:latin typeface="Calibri"/>
              </a:defRPr>
            </a:pPr>
            <a:r>
              <a:rPr lang="fr-FR" sz="1600" b="1" strike="noStrike" spc="-1">
                <a:solidFill>
                  <a:srgbClr val="000000"/>
                </a:solidFill>
                <a:latin typeface="Calibri"/>
              </a:rPr>
              <a:t>Répartition des charges 
d'exploitation</a:t>
            </a:r>
          </a:p>
        </c:rich>
      </c:tx>
      <c:layout>
        <c:manualLayout>
          <c:xMode val="edge"/>
          <c:yMode val="edge"/>
          <c:x val="4.8549146350031602E-2"/>
          <c:y val="1.5494776382204501E-2"/>
        </c:manualLayout>
      </c:layout>
      <c:overlay val="0"/>
    </c:title>
    <c:autoTitleDeleted val="0"/>
    <c:plotArea>
      <c:layout>
        <c:manualLayout>
          <c:layoutTarget val="inner"/>
          <c:xMode val="edge"/>
          <c:yMode val="edge"/>
          <c:x val="0.137356846764561"/>
          <c:y val="0.25648550299330902"/>
          <c:w val="0.42534953980186901"/>
          <c:h val="0.672731541260711"/>
        </c:manualLayout>
      </c:layout>
      <c:pieChart>
        <c:varyColors val="1"/>
        <c:ser>
          <c:idx val="0"/>
          <c:order val="0"/>
          <c:tx>
            <c:strRef>
              <c:f>'Ratios Compte Résultat'!$B$9</c:f>
              <c:strCache>
                <c:ptCount val="1"/>
                <c:pt idx="0">
                  <c:v>2021</c:v>
                </c:pt>
              </c:strCache>
            </c:strRef>
          </c:tx>
          <c:spPr>
            <a:solidFill>
              <a:srgbClr val="4F81BD"/>
            </a:solidFill>
            <a:ln>
              <a:noFill/>
            </a:ln>
          </c:spPr>
          <c:dPt>
            <c:idx val="0"/>
            <c:bubble3D val="0"/>
            <c:spPr>
              <a:solidFill>
                <a:srgbClr val="4572A7"/>
              </a:solidFill>
              <a:ln>
                <a:noFill/>
              </a:ln>
            </c:spPr>
            <c:extLst>
              <c:ext xmlns:c16="http://schemas.microsoft.com/office/drawing/2014/chart" uri="{C3380CC4-5D6E-409C-BE32-E72D297353CC}">
                <c16:uniqueId val="{00000001-4713-41F0-B7D3-99F69B5AB81F}"/>
              </c:ext>
            </c:extLst>
          </c:dPt>
          <c:dPt>
            <c:idx val="1"/>
            <c:bubble3D val="0"/>
            <c:spPr>
              <a:solidFill>
                <a:srgbClr val="AA4643"/>
              </a:solidFill>
              <a:ln>
                <a:noFill/>
              </a:ln>
            </c:spPr>
            <c:extLst>
              <c:ext xmlns:c16="http://schemas.microsoft.com/office/drawing/2014/chart" uri="{C3380CC4-5D6E-409C-BE32-E72D297353CC}">
                <c16:uniqueId val="{00000003-4713-41F0-B7D3-99F69B5AB81F}"/>
              </c:ext>
            </c:extLst>
          </c:dPt>
          <c:dPt>
            <c:idx val="2"/>
            <c:bubble3D val="0"/>
            <c:spPr>
              <a:solidFill>
                <a:srgbClr val="89A54E"/>
              </a:solidFill>
              <a:ln>
                <a:noFill/>
              </a:ln>
            </c:spPr>
            <c:extLst>
              <c:ext xmlns:c16="http://schemas.microsoft.com/office/drawing/2014/chart" uri="{C3380CC4-5D6E-409C-BE32-E72D297353CC}">
                <c16:uniqueId val="{00000005-4713-41F0-B7D3-99F69B5AB81F}"/>
              </c:ext>
            </c:extLst>
          </c:dPt>
          <c:dPt>
            <c:idx val="3"/>
            <c:bubble3D val="0"/>
            <c:spPr>
              <a:solidFill>
                <a:srgbClr val="71588F"/>
              </a:solidFill>
              <a:ln>
                <a:noFill/>
              </a:ln>
            </c:spPr>
            <c:extLst>
              <c:ext xmlns:c16="http://schemas.microsoft.com/office/drawing/2014/chart" uri="{C3380CC4-5D6E-409C-BE32-E72D297353CC}">
                <c16:uniqueId val="{00000007-4713-41F0-B7D3-99F69B5AB81F}"/>
              </c:ext>
            </c:extLst>
          </c:dPt>
          <c:dPt>
            <c:idx val="4"/>
            <c:bubble3D val="0"/>
            <c:spPr>
              <a:solidFill>
                <a:srgbClr val="4198AF"/>
              </a:solidFill>
              <a:ln>
                <a:noFill/>
              </a:ln>
            </c:spPr>
            <c:extLst>
              <c:ext xmlns:c16="http://schemas.microsoft.com/office/drawing/2014/chart" uri="{C3380CC4-5D6E-409C-BE32-E72D297353CC}">
                <c16:uniqueId val="{00000009-4713-41F0-B7D3-99F69B5AB81F}"/>
              </c:ext>
            </c:extLst>
          </c:dPt>
          <c:dPt>
            <c:idx val="5"/>
            <c:bubble3D val="0"/>
            <c:spPr>
              <a:solidFill>
                <a:srgbClr val="DB843D"/>
              </a:solidFill>
              <a:ln>
                <a:noFill/>
              </a:ln>
            </c:spPr>
            <c:extLst>
              <c:ext xmlns:c16="http://schemas.microsoft.com/office/drawing/2014/chart" uri="{C3380CC4-5D6E-409C-BE32-E72D297353CC}">
                <c16:uniqueId val="{0000000B-4713-41F0-B7D3-99F69B5AB81F}"/>
              </c:ext>
            </c:extLst>
          </c:dPt>
          <c:dLbls>
            <c:spPr>
              <a:noFill/>
              <a:ln>
                <a:noFill/>
              </a:ln>
              <a:effectLst/>
            </c:spPr>
            <c:dLblPos val="bestFit"/>
            <c:showLegendKey val="0"/>
            <c:showVal val="0"/>
            <c:showCatName val="0"/>
            <c:showSerName val="0"/>
            <c:showPercent val="0"/>
            <c:showBubbleSize val="1"/>
            <c:showLeaderLines val="0"/>
            <c:extLst>
              <c:ext xmlns:c15="http://schemas.microsoft.com/office/drawing/2012/chart" uri="{CE6537A1-D6FC-4f65-9D91-7224C49458BB}"/>
            </c:extLst>
          </c:dLbls>
          <c:cat>
            <c:strRef>
              <c:f>'Ratios Compte Résultat'!$A$19:$A$24</c:f>
              <c:strCache>
                <c:ptCount val="6"/>
                <c:pt idx="0">
                  <c:v>Coût des prestations vendues</c:v>
                </c:pt>
                <c:pt idx="1">
                  <c:v>Autres achats et charges externes</c:v>
                </c:pt>
                <c:pt idx="2">
                  <c:v>Impôts et taxes</c:v>
                </c:pt>
                <c:pt idx="3">
                  <c:v>Charges de personnel</c:v>
                </c:pt>
                <c:pt idx="4">
                  <c:v>Dotations aux amortissements et provisions</c:v>
                </c:pt>
                <c:pt idx="5">
                  <c:v>Autres charges</c:v>
                </c:pt>
              </c:strCache>
            </c:strRef>
          </c:cat>
          <c:val>
            <c:numRef>
              <c:f>'Ratios Compte Résultat'!$D$19:$D$24</c:f>
              <c:numCache>
                <c:formatCode>#\ ##0\ ;\-#\ ##0\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4713-41F0-B7D3-99F69B5AB81F}"/>
            </c:ext>
          </c:extLst>
        </c:ser>
        <c:dLbls>
          <c:showLegendKey val="0"/>
          <c:showVal val="0"/>
          <c:showCatName val="0"/>
          <c:showSerName val="0"/>
          <c:showPercent val="0"/>
          <c:showBubbleSize val="0"/>
          <c:showLeaderLines val="0"/>
        </c:dLbls>
        <c:firstSliceAng val="0"/>
      </c:pieChart>
      <c:spPr>
        <a:noFill/>
        <a:ln w="12600">
          <a:noFill/>
        </a:ln>
      </c:spPr>
    </c:plotArea>
    <c:legend>
      <c:legendPos val="r"/>
      <c:layout>
        <c:manualLayout>
          <c:xMode val="edge"/>
          <c:yMode val="edge"/>
          <c:x val="0.64156245609105"/>
          <c:y val="0.26913145539906103"/>
          <c:w val="0.32218631445833901"/>
          <c:h val="0.65410798122065705"/>
        </c:manualLayout>
      </c:layout>
      <c:overlay val="0"/>
      <c:spPr>
        <a:noFill/>
        <a:ln>
          <a:noFill/>
        </a:ln>
      </c:spPr>
      <c:txPr>
        <a:bodyPr/>
        <a:lstStyle/>
        <a:p>
          <a:pPr>
            <a:defRPr sz="1050" b="0" strike="noStrike" spc="-1">
              <a:solidFill>
                <a:srgbClr val="000000"/>
              </a:solidFill>
              <a:latin typeface="Calibri"/>
            </a:defRPr>
          </a:pPr>
          <a:endParaRPr lang="fr-FR"/>
        </a:p>
      </c:txPr>
    </c:legend>
    <c:plotVisOnly val="1"/>
    <c:dispBlanksAs val="gap"/>
    <c:showDLblsOverMax val="1"/>
  </c:chart>
  <c:spPr>
    <a:solidFill>
      <a:srgbClr val="FFFFFF"/>
    </a:solidFill>
    <a:ln>
      <a:solidFill>
        <a:srgbClr val="80808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title>
      <c:tx>
        <c:rich>
          <a:bodyPr rot="0"/>
          <a:lstStyle/>
          <a:p>
            <a:pPr>
              <a:defRPr sz="1800" b="1" strike="noStrike" spc="-1">
                <a:solidFill>
                  <a:srgbClr val="000000"/>
                </a:solidFill>
                <a:latin typeface="Calibri"/>
              </a:defRPr>
            </a:pPr>
            <a:r>
              <a:rPr lang="fr-FR" sz="1800" b="1" strike="noStrike" spc="-1">
                <a:solidFill>
                  <a:srgbClr val="000000"/>
                </a:solidFill>
                <a:latin typeface="Calibri"/>
              </a:rPr>
              <a:t>Composition du Résultat</a:t>
            </a:r>
          </a:p>
        </c:rich>
      </c:tx>
      <c:layout>
        <c:manualLayout>
          <c:xMode val="edge"/>
          <c:yMode val="edge"/>
          <c:x val="0.235214671595109"/>
          <c:y val="1.7217011435179199E-2"/>
        </c:manualLayout>
      </c:layout>
      <c:overlay val="0"/>
    </c:title>
    <c:autoTitleDeleted val="0"/>
    <c:plotArea>
      <c:layout>
        <c:manualLayout>
          <c:xMode val="edge"/>
          <c:yMode val="edge"/>
          <c:x val="5.11712214166202E-2"/>
          <c:y val="7.7140653124196407E-2"/>
          <c:w val="0.912228109313999"/>
          <c:h val="0.87837490357418302"/>
        </c:manualLayout>
      </c:layout>
      <c:barChart>
        <c:barDir val="col"/>
        <c:grouping val="clustered"/>
        <c:varyColors val="0"/>
        <c:ser>
          <c:idx val="0"/>
          <c:order val="0"/>
          <c:tx>
            <c:strRef>
              <c:f>'Ratios Compte Résultat'!$B$9:$C$9</c:f>
              <c:strCache>
                <c:ptCount val="1"/>
                <c:pt idx="0">
                  <c:v>2021</c:v>
                </c:pt>
              </c:strCache>
            </c:strRef>
          </c:tx>
          <c:spPr>
            <a:solidFill>
              <a:srgbClr val="4F81BD"/>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('Ratios Compte Résultat'!$B$26,'Ratios Compte Résultat'!$B$29,'Ratios Compte Résultat'!$B$33)</c:f>
              <c:numCache>
                <c:formatCode>#\ ##0\ ;\-#\ ##0\ </c:formatCode>
                <c:ptCount val="3"/>
                <c:pt idx="0">
                  <c:v>0</c:v>
                </c:pt>
                <c:pt idx="1">
                  <c:v>0</c:v>
                </c:pt>
                <c:pt idx="2">
                  <c:v>0</c:v>
                </c:pt>
              </c:numCache>
            </c:numRef>
          </c:val>
          <c:extLst>
            <c:ext xmlns:c15="http://schemas.microsoft.com/office/drawing/2012/chart" uri="{02D57815-91ED-43cb-92C2-25804820EDAC}">
              <c15:filteredCategoryTitle>
                <c15:cat>
                  <c:strRef>
                    <c:extLst>
                      <c:ext uri="{02D57815-91ED-43cb-92C2-25804820EDAC}">
                        <c15:formulaRef>
                          <c15:sqref>categories</c15:sqref>
                        </c15:formulaRef>
                      </c:ext>
                    </c:extLst>
                    <c:strCache>
                      <c:ptCount val="3"/>
                      <c:pt idx="0">
                        <c:v>RESULTAT D'EXPLOITATION</c:v>
                      </c:pt>
                      <c:pt idx="1">
                        <c:v>RESULTAT FINANCIER</c:v>
                      </c:pt>
                      <c:pt idx="2">
                        <c:v>RESULTAT EXCEPTIONNEL</c:v>
                      </c:pt>
                    </c:strCache>
                  </c:strRef>
                </c15:cat>
              </c15:filteredCategoryTitle>
            </c:ext>
            <c:ext xmlns:c16="http://schemas.microsoft.com/office/drawing/2014/chart" uri="{C3380CC4-5D6E-409C-BE32-E72D297353CC}">
              <c16:uniqueId val="{00000000-9268-4156-8158-C26CBE9BED8E}"/>
            </c:ext>
          </c:extLst>
        </c:ser>
        <c:ser>
          <c:idx val="1"/>
          <c:order val="1"/>
          <c:tx>
            <c:strRef>
              <c:f>'Ratios Compte Résultat'!$D$9:$E$9</c:f>
              <c:strCache>
                <c:ptCount val="1"/>
                <c:pt idx="0">
                  <c:v>2022</c:v>
                </c:pt>
              </c:strCache>
            </c:strRef>
          </c:tx>
          <c:spPr>
            <a:solidFill>
              <a:srgbClr val="C0504D"/>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('Ratios Compte Résultat'!$D$26,'Ratios Compte Résultat'!$D$29,'Ratios Compte Résultat'!$D$33)</c:f>
              <c:numCache>
                <c:formatCode>#\ ##0\ ;\-#\ ##0\ </c:formatCode>
                <c:ptCount val="3"/>
                <c:pt idx="0">
                  <c:v>0</c:v>
                </c:pt>
                <c:pt idx="1">
                  <c:v>0</c:v>
                </c:pt>
                <c:pt idx="2">
                  <c:v>0</c:v>
                </c:pt>
              </c:numCache>
            </c:numRef>
          </c:val>
          <c:extLst>
            <c:ext xmlns:c15="http://schemas.microsoft.com/office/drawing/2012/chart" uri="{02D57815-91ED-43cb-92C2-25804820EDAC}">
              <c15:filteredCategoryTitle>
                <c15:cat>
                  <c:strRef>
                    <c:extLst>
                      <c:ext uri="{02D57815-91ED-43cb-92C2-25804820EDAC}">
                        <c15:formulaRef>
                          <c15:sqref>categories</c15:sqref>
                        </c15:formulaRef>
                      </c:ext>
                    </c:extLst>
                    <c:strCache>
                      <c:ptCount val="3"/>
                      <c:pt idx="0">
                        <c:v>RESULTAT D'EXPLOITATION</c:v>
                      </c:pt>
                      <c:pt idx="1">
                        <c:v>RESULTAT FINANCIER</c:v>
                      </c:pt>
                      <c:pt idx="2">
                        <c:v>RESULTAT EXCEPTIONNEL</c:v>
                      </c:pt>
                    </c:strCache>
                  </c:strRef>
                </c15:cat>
              </c15:filteredCategoryTitle>
            </c:ext>
            <c:ext xmlns:c16="http://schemas.microsoft.com/office/drawing/2014/chart" uri="{C3380CC4-5D6E-409C-BE32-E72D297353CC}">
              <c16:uniqueId val="{00000001-9268-4156-8158-C26CBE9BED8E}"/>
            </c:ext>
          </c:extLst>
        </c:ser>
        <c:ser>
          <c:idx val="2"/>
          <c:order val="2"/>
          <c:tx>
            <c:strRef>
              <c:f>'Ratios Compte Résultat'!$F$9:$G$9</c:f>
              <c:strCache>
                <c:ptCount val="1"/>
                <c:pt idx="0">
                  <c:v>2023</c:v>
                </c:pt>
              </c:strCache>
            </c:strRef>
          </c:tx>
          <c:spPr>
            <a:solidFill>
              <a:srgbClr val="9BBB59"/>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('Ratios Compte Résultat'!$F$26,'Ratios Compte Résultat'!$F$29,'Ratios Compte Résultat'!$F$33)</c:f>
              <c:numCache>
                <c:formatCode>#\ ##0\ ;\-#\ ##0\ </c:formatCode>
                <c:ptCount val="3"/>
                <c:pt idx="0">
                  <c:v>0</c:v>
                </c:pt>
                <c:pt idx="1">
                  <c:v>0</c:v>
                </c:pt>
                <c:pt idx="2">
                  <c:v>0</c:v>
                </c:pt>
              </c:numCache>
            </c:numRef>
          </c:val>
          <c:extLst>
            <c:ext xmlns:c15="http://schemas.microsoft.com/office/drawing/2012/chart" uri="{02D57815-91ED-43cb-92C2-25804820EDAC}">
              <c15:filteredCategoryTitle>
                <c15:cat>
                  <c:strRef>
                    <c:extLst>
                      <c:ext uri="{02D57815-91ED-43cb-92C2-25804820EDAC}">
                        <c15:formulaRef>
                          <c15:sqref>categories</c15:sqref>
                        </c15:formulaRef>
                      </c:ext>
                    </c:extLst>
                    <c:strCache>
                      <c:ptCount val="3"/>
                      <c:pt idx="0">
                        <c:v>RESULTAT D'EXPLOITATION</c:v>
                      </c:pt>
                      <c:pt idx="1">
                        <c:v>RESULTAT FINANCIER</c:v>
                      </c:pt>
                      <c:pt idx="2">
                        <c:v>RESULTAT EXCEPTIONNEL</c:v>
                      </c:pt>
                    </c:strCache>
                  </c:strRef>
                </c15:cat>
              </c15:filteredCategoryTitle>
            </c:ext>
            <c:ext xmlns:c16="http://schemas.microsoft.com/office/drawing/2014/chart" uri="{C3380CC4-5D6E-409C-BE32-E72D297353CC}">
              <c16:uniqueId val="{00000002-9268-4156-8158-C26CBE9BED8E}"/>
            </c:ext>
          </c:extLst>
        </c:ser>
        <c:dLbls>
          <c:showLegendKey val="0"/>
          <c:showVal val="0"/>
          <c:showCatName val="0"/>
          <c:showSerName val="0"/>
          <c:showPercent val="0"/>
          <c:showBubbleSize val="0"/>
        </c:dLbls>
        <c:gapWidth val="75"/>
        <c:axId val="192998400"/>
        <c:axId val="192807680"/>
      </c:barChart>
      <c:catAx>
        <c:axId val="192998400"/>
        <c:scaling>
          <c:orientation val="minMax"/>
        </c:scaling>
        <c:delete val="0"/>
        <c:axPos val="b"/>
        <c:numFmt formatCode="General" sourceLinked="1"/>
        <c:majorTickMark val="none"/>
        <c:minorTickMark val="none"/>
        <c:tickLblPos val="low"/>
        <c:spPr>
          <a:ln>
            <a:solidFill>
              <a:srgbClr val="808080"/>
            </a:solidFill>
          </a:ln>
        </c:spPr>
        <c:txPr>
          <a:bodyPr/>
          <a:lstStyle/>
          <a:p>
            <a:pPr>
              <a:defRPr sz="1000" b="0" strike="noStrike" spc="-1">
                <a:solidFill>
                  <a:srgbClr val="000000"/>
                </a:solidFill>
                <a:latin typeface="Calibri"/>
              </a:defRPr>
            </a:pPr>
            <a:endParaRPr lang="fr-FR"/>
          </a:p>
        </c:txPr>
        <c:crossAx val="192807680"/>
        <c:crosses val="autoZero"/>
        <c:auto val="1"/>
        <c:lblAlgn val="ctr"/>
        <c:lblOffset val="100"/>
        <c:noMultiLvlLbl val="1"/>
      </c:catAx>
      <c:valAx>
        <c:axId val="192807680"/>
        <c:scaling>
          <c:orientation val="minMax"/>
        </c:scaling>
        <c:delete val="0"/>
        <c:axPos val="l"/>
        <c:majorGridlines>
          <c:spPr>
            <a:ln>
              <a:solidFill>
                <a:srgbClr val="808080"/>
              </a:solidFill>
            </a:ln>
          </c:spPr>
        </c:majorGridlines>
        <c:numFmt formatCode="#,##0,;\-#,##0," sourceLinked="0"/>
        <c:majorTickMark val="none"/>
        <c:minorTickMark val="none"/>
        <c:tickLblPos val="nextTo"/>
        <c:spPr>
          <a:ln>
            <a:noFill/>
          </a:ln>
        </c:spPr>
        <c:txPr>
          <a:bodyPr/>
          <a:lstStyle/>
          <a:p>
            <a:pPr>
              <a:defRPr sz="1000" b="0" strike="noStrike" spc="-1">
                <a:solidFill>
                  <a:srgbClr val="000000"/>
                </a:solidFill>
                <a:latin typeface="Calibri"/>
              </a:defRPr>
            </a:pPr>
            <a:endParaRPr lang="fr-FR"/>
          </a:p>
        </c:txPr>
        <c:crossAx val="192998400"/>
        <c:crossesAt val="1"/>
        <c:crossBetween val="between"/>
      </c:valAx>
      <c:spPr>
        <a:noFill/>
        <a:ln w="12600">
          <a:noFill/>
        </a:ln>
      </c:spPr>
    </c:plotArea>
    <c:legend>
      <c:legendPos val="r"/>
      <c:layout>
        <c:manualLayout>
          <c:xMode val="edge"/>
          <c:yMode val="edge"/>
          <c:x val="0.65466208316799934"/>
          <c:y val="0.87800488494665097"/>
          <c:w val="0.32825896419581746"/>
          <c:h val="0.11799913343271119"/>
        </c:manualLayout>
      </c:layout>
      <c:overlay val="0"/>
      <c:spPr>
        <a:noFill/>
        <a:ln>
          <a:noFill/>
        </a:ln>
      </c:spPr>
      <c:txPr>
        <a:bodyPr/>
        <a:lstStyle/>
        <a:p>
          <a:pPr>
            <a:defRPr sz="1010" b="1" strike="noStrike" spc="-1">
              <a:solidFill>
                <a:srgbClr val="000000"/>
              </a:solidFill>
              <a:latin typeface="Calibri"/>
            </a:defRPr>
          </a:pPr>
          <a:endParaRPr lang="fr-FR"/>
        </a:p>
      </c:txPr>
    </c:legend>
    <c:plotVisOnly val="1"/>
    <c:dispBlanksAs val="gap"/>
    <c:showDLblsOverMax val="1"/>
  </c:chart>
  <c:spPr>
    <a:solidFill>
      <a:srgbClr val="FFFFFF"/>
    </a:solidFill>
    <a:ln>
      <a:solidFill>
        <a:srgbClr val="80808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title>
      <c:tx>
        <c:rich>
          <a:bodyPr rot="0"/>
          <a:lstStyle/>
          <a:p>
            <a:pPr>
              <a:defRPr sz="1600" b="1" strike="noStrike" spc="-1">
                <a:solidFill>
                  <a:srgbClr val="000000"/>
                </a:solidFill>
                <a:latin typeface="Calibri"/>
              </a:defRPr>
            </a:pPr>
            <a:r>
              <a:rPr lang="fr-FR" sz="1600" b="1" strike="noStrike" spc="-1">
                <a:solidFill>
                  <a:srgbClr val="000000"/>
                </a:solidFill>
                <a:latin typeface="Calibri"/>
              </a:rPr>
              <a:t>Répartition des produits 
d'exploitation</a:t>
            </a:r>
          </a:p>
        </c:rich>
      </c:tx>
      <c:layout>
        <c:manualLayout>
          <c:xMode val="edge"/>
          <c:yMode val="edge"/>
          <c:x val="4.86159898833778E-2"/>
          <c:y val="1.5494776382204501E-2"/>
        </c:manualLayout>
      </c:layout>
      <c:overlay val="0"/>
    </c:title>
    <c:autoTitleDeleted val="0"/>
    <c:plotArea>
      <c:layout>
        <c:manualLayout>
          <c:layoutTarget val="inner"/>
          <c:xMode val="edge"/>
          <c:yMode val="edge"/>
          <c:x val="0.137356846764561"/>
          <c:y val="0.25648550299330902"/>
          <c:w val="0.42534953980186901"/>
          <c:h val="0.672731541260711"/>
        </c:manualLayout>
      </c:layout>
      <c:pieChart>
        <c:varyColors val="1"/>
        <c:ser>
          <c:idx val="0"/>
          <c:order val="0"/>
          <c:tx>
            <c:strRef>
              <c:f>'Ratios Compte Résultat'!$D$9</c:f>
              <c:strCache>
                <c:ptCount val="1"/>
                <c:pt idx="0">
                  <c:v>2022</c:v>
                </c:pt>
              </c:strCache>
            </c:strRef>
          </c:tx>
          <c:spPr>
            <a:solidFill>
              <a:srgbClr val="4F81BD"/>
            </a:solidFill>
            <a:ln>
              <a:noFill/>
            </a:ln>
          </c:spPr>
          <c:dPt>
            <c:idx val="0"/>
            <c:bubble3D val="0"/>
            <c:spPr>
              <a:solidFill>
                <a:srgbClr val="4572A7"/>
              </a:solidFill>
              <a:ln>
                <a:noFill/>
              </a:ln>
            </c:spPr>
            <c:extLst>
              <c:ext xmlns:c16="http://schemas.microsoft.com/office/drawing/2014/chart" uri="{C3380CC4-5D6E-409C-BE32-E72D297353CC}">
                <c16:uniqueId val="{00000001-508B-4108-A9ED-E6238923FD9C}"/>
              </c:ext>
            </c:extLst>
          </c:dPt>
          <c:dPt>
            <c:idx val="1"/>
            <c:bubble3D val="0"/>
            <c:spPr>
              <a:solidFill>
                <a:srgbClr val="AA4643"/>
              </a:solidFill>
              <a:ln>
                <a:noFill/>
              </a:ln>
            </c:spPr>
            <c:extLst>
              <c:ext xmlns:c16="http://schemas.microsoft.com/office/drawing/2014/chart" uri="{C3380CC4-5D6E-409C-BE32-E72D297353CC}">
                <c16:uniqueId val="{00000003-508B-4108-A9ED-E6238923FD9C}"/>
              </c:ext>
            </c:extLst>
          </c:dPt>
          <c:dPt>
            <c:idx val="2"/>
            <c:bubble3D val="0"/>
            <c:explosion val="1"/>
            <c:spPr>
              <a:solidFill>
                <a:srgbClr val="89A54E"/>
              </a:solidFill>
              <a:ln>
                <a:noFill/>
              </a:ln>
            </c:spPr>
            <c:extLst>
              <c:ext xmlns:c16="http://schemas.microsoft.com/office/drawing/2014/chart" uri="{C3380CC4-5D6E-409C-BE32-E72D297353CC}">
                <c16:uniqueId val="{00000005-508B-4108-A9ED-E6238923FD9C}"/>
              </c:ext>
            </c:extLst>
          </c:dPt>
          <c:dPt>
            <c:idx val="3"/>
            <c:bubble3D val="0"/>
            <c:spPr>
              <a:solidFill>
                <a:srgbClr val="71588F"/>
              </a:solidFill>
              <a:ln>
                <a:noFill/>
              </a:ln>
            </c:spPr>
            <c:extLst>
              <c:ext xmlns:c16="http://schemas.microsoft.com/office/drawing/2014/chart" uri="{C3380CC4-5D6E-409C-BE32-E72D297353CC}">
                <c16:uniqueId val="{00000007-508B-4108-A9ED-E6238923FD9C}"/>
              </c:ext>
            </c:extLst>
          </c:dPt>
          <c:dPt>
            <c:idx val="4"/>
            <c:bubble3D val="0"/>
            <c:spPr>
              <a:solidFill>
                <a:srgbClr val="4198AF"/>
              </a:solidFill>
              <a:ln>
                <a:noFill/>
              </a:ln>
            </c:spPr>
            <c:extLst>
              <c:ext xmlns:c16="http://schemas.microsoft.com/office/drawing/2014/chart" uri="{C3380CC4-5D6E-409C-BE32-E72D297353CC}">
                <c16:uniqueId val="{00000009-508B-4108-A9ED-E6238923FD9C}"/>
              </c:ext>
            </c:extLst>
          </c:dPt>
          <c:dPt>
            <c:idx val="5"/>
            <c:bubble3D val="0"/>
            <c:spPr>
              <a:solidFill>
                <a:srgbClr val="DB843D"/>
              </a:solidFill>
              <a:ln>
                <a:noFill/>
              </a:ln>
            </c:spPr>
            <c:extLst>
              <c:ext xmlns:c16="http://schemas.microsoft.com/office/drawing/2014/chart" uri="{C3380CC4-5D6E-409C-BE32-E72D297353CC}">
                <c16:uniqueId val="{0000000B-508B-4108-A9ED-E6238923FD9C}"/>
              </c:ext>
            </c:extLst>
          </c:dPt>
          <c:dPt>
            <c:idx val="6"/>
            <c:bubble3D val="0"/>
            <c:spPr>
              <a:solidFill>
                <a:srgbClr val="314004"/>
              </a:solidFill>
              <a:ln>
                <a:noFill/>
              </a:ln>
            </c:spPr>
            <c:extLst>
              <c:ext xmlns:c16="http://schemas.microsoft.com/office/drawing/2014/chart" uri="{C3380CC4-5D6E-409C-BE32-E72D297353CC}">
                <c16:uniqueId val="{0000000D-508B-4108-A9ED-E6238923FD9C}"/>
              </c:ext>
            </c:extLst>
          </c:dPt>
          <c:dLbls>
            <c:spPr>
              <a:noFill/>
              <a:ln>
                <a:noFill/>
              </a:ln>
              <a:effectLst/>
            </c:spPr>
            <c:dLblPos val="bestFit"/>
            <c:showLegendKey val="0"/>
            <c:showVal val="0"/>
            <c:showCatName val="0"/>
            <c:showSerName val="0"/>
            <c:showPercent val="0"/>
            <c:showBubbleSize val="1"/>
            <c:showLeaderLines val="0"/>
            <c:extLst>
              <c:ext xmlns:c15="http://schemas.microsoft.com/office/drawing/2012/chart" uri="{CE6537A1-D6FC-4f65-9D91-7224C49458BB}"/>
            </c:extLst>
          </c:dLbls>
          <c:cat>
            <c:strRef>
              <c:f>'Ratios Compte Résultat'!$A$11:$A$17</c:f>
              <c:strCache>
                <c:ptCount val="7"/>
                <c:pt idx="0">
                  <c:v>Chiffre d'Affaires</c:v>
                </c:pt>
                <c:pt idx="1">
                  <c:v>Production stockée ou immobilisée</c:v>
                </c:pt>
                <c:pt idx="2">
                  <c:v>Subventions d'exploitation</c:v>
                </c:pt>
                <c:pt idx="3">
                  <c:v>       ● dont Ville</c:v>
                </c:pt>
                <c:pt idx="4">
                  <c:v>Reprises sur amortissements et provisions</c:v>
                </c:pt>
                <c:pt idx="5">
                  <c:v>Autres produits</c:v>
                </c:pt>
                <c:pt idx="6">
                  <c:v>Transferts de charges</c:v>
                </c:pt>
              </c:strCache>
            </c:strRef>
          </c:cat>
          <c:val>
            <c:numRef>
              <c:f>'Ratios Compte Résultat'!$D$11:$D$17</c:f>
              <c:numCache>
                <c:formatCode>#\ ##0\ ;\-#\ ##0\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508B-4108-A9ED-E6238923FD9C}"/>
            </c:ext>
          </c:extLst>
        </c:ser>
        <c:dLbls>
          <c:showLegendKey val="0"/>
          <c:showVal val="0"/>
          <c:showCatName val="0"/>
          <c:showSerName val="0"/>
          <c:showPercent val="0"/>
          <c:showBubbleSize val="0"/>
          <c:showLeaderLines val="0"/>
        </c:dLbls>
        <c:firstSliceAng val="0"/>
      </c:pieChart>
      <c:spPr>
        <a:noFill/>
        <a:ln w="12600">
          <a:noFill/>
        </a:ln>
      </c:spPr>
    </c:plotArea>
    <c:legend>
      <c:legendPos val="r"/>
      <c:layout>
        <c:manualLayout>
          <c:xMode val="edge"/>
          <c:yMode val="edge"/>
          <c:x val="0.64153727253565695"/>
          <c:y val="0.26904566263646001"/>
          <c:w val="0.32216132658797098"/>
          <c:h val="0.65414416529701802"/>
        </c:manualLayout>
      </c:layout>
      <c:overlay val="1"/>
      <c:spPr>
        <a:noFill/>
        <a:ln>
          <a:noFill/>
        </a:ln>
      </c:spPr>
      <c:txPr>
        <a:bodyPr/>
        <a:lstStyle/>
        <a:p>
          <a:pPr>
            <a:defRPr sz="1050" b="0" strike="noStrike" spc="-1">
              <a:solidFill>
                <a:srgbClr val="000000"/>
              </a:solidFill>
              <a:latin typeface="Calibri"/>
            </a:defRPr>
          </a:pPr>
          <a:endParaRPr lang="fr-FR"/>
        </a:p>
      </c:txPr>
    </c:legend>
    <c:plotVisOnly val="1"/>
    <c:dispBlanksAs val="gap"/>
    <c:showDLblsOverMax val="1"/>
  </c:chart>
  <c:spPr>
    <a:solidFill>
      <a:srgbClr val="FFFFFF"/>
    </a:solidFill>
    <a:ln>
      <a:solidFill>
        <a:srgbClr val="80808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986760</xdr:colOff>
      <xdr:row>1</xdr:row>
      <xdr:rowOff>95400</xdr:rowOff>
    </xdr:from>
    <xdr:to>
      <xdr:col>7</xdr:col>
      <xdr:colOff>856440</xdr:colOff>
      <xdr:row>3</xdr:row>
      <xdr:rowOff>381240</xdr:rowOff>
    </xdr:to>
    <xdr:pic>
      <xdr:nvPicPr>
        <xdr:cNvPr id="2" name="Image 3"/>
        <xdr:cNvPicPr/>
      </xdr:nvPicPr>
      <xdr:blipFill>
        <a:blip xmlns:r="http://schemas.openxmlformats.org/officeDocument/2006/relationships" r:embed="rId1"/>
        <a:stretch/>
      </xdr:blipFill>
      <xdr:spPr>
        <a:xfrm>
          <a:off x="9170640" y="95400"/>
          <a:ext cx="925560" cy="885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443160</xdr:colOff>
      <xdr:row>0</xdr:row>
      <xdr:rowOff>104760</xdr:rowOff>
    </xdr:from>
    <xdr:to>
      <xdr:col>8</xdr:col>
      <xdr:colOff>483840</xdr:colOff>
      <xdr:row>3</xdr:row>
      <xdr:rowOff>275760</xdr:rowOff>
    </xdr:to>
    <xdr:pic>
      <xdr:nvPicPr>
        <xdr:cNvPr id="2" name="Image 2"/>
        <xdr:cNvPicPr/>
      </xdr:nvPicPr>
      <xdr:blipFill>
        <a:blip xmlns:r="http://schemas.openxmlformats.org/officeDocument/2006/relationships" r:embed="rId1"/>
        <a:stretch/>
      </xdr:blipFill>
      <xdr:spPr>
        <a:xfrm>
          <a:off x="10294920" y="104760"/>
          <a:ext cx="926640" cy="88524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114321</xdr:colOff>
      <xdr:row>50</xdr:row>
      <xdr:rowOff>112495</xdr:rowOff>
    </xdr:from>
    <xdr:to>
      <xdr:col>4</xdr:col>
      <xdr:colOff>169956</xdr:colOff>
      <xdr:row>69</xdr:row>
      <xdr:rowOff>44823</xdr:rowOff>
    </xdr:to>
    <xdr:graphicFrame macro="">
      <xdr:nvGraphicFramePr>
        <xdr:cNvPr id="2"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262080</xdr:colOff>
      <xdr:row>0</xdr:row>
      <xdr:rowOff>66240</xdr:rowOff>
    </xdr:from>
    <xdr:to>
      <xdr:col>0</xdr:col>
      <xdr:colOff>896760</xdr:colOff>
      <xdr:row>3</xdr:row>
      <xdr:rowOff>190440</xdr:rowOff>
    </xdr:to>
    <xdr:pic>
      <xdr:nvPicPr>
        <xdr:cNvPr id="3" name="Image 6"/>
        <xdr:cNvPicPr/>
      </xdr:nvPicPr>
      <xdr:blipFill>
        <a:blip xmlns:r="http://schemas.openxmlformats.org/officeDocument/2006/relationships" r:embed="rId2"/>
        <a:stretch/>
      </xdr:blipFill>
      <xdr:spPr>
        <a:xfrm>
          <a:off x="262080" y="66240"/>
          <a:ext cx="634680" cy="6098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109800</xdr:colOff>
      <xdr:row>73</xdr:row>
      <xdr:rowOff>124200</xdr:rowOff>
    </xdr:from>
    <xdr:to>
      <xdr:col>4</xdr:col>
      <xdr:colOff>141840</xdr:colOff>
      <xdr:row>94</xdr:row>
      <xdr:rowOff>39645</xdr:rowOff>
    </xdr:to>
    <xdr:graphicFrame macro="">
      <xdr:nvGraphicFramePr>
        <xdr:cNvPr id="4"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131714</xdr:colOff>
      <xdr:row>95</xdr:row>
      <xdr:rowOff>164304</xdr:rowOff>
    </xdr:from>
    <xdr:to>
      <xdr:col>4</xdr:col>
      <xdr:colOff>103994</xdr:colOff>
      <xdr:row>111</xdr:row>
      <xdr:rowOff>5169</xdr:rowOff>
    </xdr:to>
    <xdr:graphicFrame macro="">
      <xdr:nvGraphicFramePr>
        <xdr:cNvPr id="5"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160200</xdr:colOff>
      <xdr:row>0</xdr:row>
      <xdr:rowOff>57240</xdr:rowOff>
    </xdr:from>
    <xdr:to>
      <xdr:col>0</xdr:col>
      <xdr:colOff>798120</xdr:colOff>
      <xdr:row>3</xdr:row>
      <xdr:rowOff>94680</xdr:rowOff>
    </xdr:to>
    <xdr:pic>
      <xdr:nvPicPr>
        <xdr:cNvPr id="6" name="Image 8"/>
        <xdr:cNvPicPr/>
      </xdr:nvPicPr>
      <xdr:blipFill>
        <a:blip xmlns:r="http://schemas.openxmlformats.org/officeDocument/2006/relationships" r:embed="rId3"/>
        <a:stretch/>
      </xdr:blipFill>
      <xdr:spPr>
        <a:xfrm>
          <a:off x="160200" y="57240"/>
          <a:ext cx="637920" cy="574560"/>
        </a:xfrm>
        <a:prstGeom prst="rect">
          <a:avLst/>
        </a:prstGeom>
        <a:ln>
          <a:noFill/>
        </a:ln>
      </xdr:spPr>
    </xdr:pic>
    <xdr:clientData/>
  </xdr:twoCellAnchor>
  <xdr:twoCellAnchor editAs="oneCell">
    <xdr:from>
      <xdr:col>0</xdr:col>
      <xdr:colOff>132120</xdr:colOff>
      <xdr:row>56</xdr:row>
      <xdr:rowOff>36720</xdr:rowOff>
    </xdr:from>
    <xdr:to>
      <xdr:col>4</xdr:col>
      <xdr:colOff>164160</xdr:colOff>
      <xdr:row>72</xdr:row>
      <xdr:rowOff>1120</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8945764</xdr:colOff>
      <xdr:row>0</xdr:row>
      <xdr:rowOff>0</xdr:rowOff>
    </xdr:from>
    <xdr:to>
      <xdr:col>2</xdr:col>
      <xdr:colOff>9533467</xdr:colOff>
      <xdr:row>1</xdr:row>
      <xdr:rowOff>206138</xdr:rowOff>
    </xdr:to>
    <xdr:pic>
      <xdr:nvPicPr>
        <xdr:cNvPr id="4" name="Image 3"/>
        <xdr:cNvPicPr>
          <a:picLocks noChangeAspect="1"/>
        </xdr:cNvPicPr>
      </xdr:nvPicPr>
      <xdr:blipFill>
        <a:blip xmlns:r="http://schemas.openxmlformats.org/officeDocument/2006/relationships" r:embed="rId1"/>
        <a:stretch>
          <a:fillRect/>
        </a:stretch>
      </xdr:blipFill>
      <xdr:spPr>
        <a:xfrm>
          <a:off x="10363931" y="0"/>
          <a:ext cx="587703" cy="5448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121010_SCE%20CONTROLE%20GESTION%20EXT%20-%20SC/_Commun/110000/110200/_Commun/5-Externe_ville/5.3_Associations_Ville/Tableaux%20diag%20flash/TAB-FINANCI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
      <sheetName val="Compte de résultat"/>
      <sheetName val="indicateurs A"/>
      <sheetName val="indicateurs B"/>
      <sheetName val="indicateurs C"/>
      <sheetName val="indicateurs D"/>
      <sheetName val="Notice comptable"/>
      <sheetName val="Lexique comptable"/>
    </sheetNames>
    <sheetDataSet>
      <sheetData sheetId="0">
        <row r="2">
          <cell r="E2">
            <v>2018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vernimmen.net/html/glossaire/definition_tresorerie.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4" tint="0.39997558519241921"/>
  </sheetPr>
  <dimension ref="A1:J46"/>
  <sheetViews>
    <sheetView showGridLines="0" tabSelected="1" topLeftCell="A2" zoomScale="90" zoomScaleNormal="90" workbookViewId="0">
      <selection activeCell="C2" sqref="C2"/>
    </sheetView>
  </sheetViews>
  <sheetFormatPr baseColWidth="10" defaultColWidth="9.140625" defaultRowHeight="12.75"/>
  <cols>
    <col min="1" max="1" width="9.5703125" customWidth="1"/>
    <col min="2" max="2" width="29.28515625" customWidth="1"/>
    <col min="3" max="4" width="18.140625" customWidth="1"/>
    <col min="5" max="5" width="17.85546875" customWidth="1"/>
    <col min="6" max="6" width="23.140625" customWidth="1"/>
    <col min="7" max="8" width="15" customWidth="1"/>
    <col min="9" max="9" width="18.140625" customWidth="1"/>
    <col min="10" max="10" width="0.7109375" customWidth="1"/>
    <col min="11" max="11" width="13.28515625" customWidth="1"/>
    <col min="12" max="1025" width="11" customWidth="1"/>
  </cols>
  <sheetData>
    <row r="1" spans="1:9" ht="14.25" hidden="1" customHeight="1">
      <c r="A1" s="388"/>
      <c r="B1" s="388"/>
    </row>
    <row r="2" spans="1:9" ht="14.25" customHeight="1">
      <c r="A2" s="1"/>
      <c r="B2" s="1"/>
    </row>
    <row r="3" spans="1:9" ht="33" customHeight="1">
      <c r="A3" s="389" t="s">
        <v>0</v>
      </c>
      <c r="B3" s="389"/>
      <c r="C3" s="389"/>
      <c r="D3" s="2">
        <v>2024</v>
      </c>
      <c r="E3" s="3">
        <f>D3-1</f>
        <v>2023</v>
      </c>
    </row>
    <row r="4" spans="1:9" ht="32.25" customHeight="1">
      <c r="A4" s="4" t="s">
        <v>1</v>
      </c>
      <c r="B4" s="5">
        <f ca="1">TODAY()</f>
        <v>45112</v>
      </c>
      <c r="C4" s="4" t="s">
        <v>2</v>
      </c>
      <c r="D4" s="390"/>
      <c r="E4" s="390"/>
      <c r="H4" s="6"/>
      <c r="I4" s="7"/>
    </row>
    <row r="5" spans="1:9" ht="18.75" customHeight="1">
      <c r="D5" s="8"/>
      <c r="E5" s="8"/>
      <c r="F5" s="8"/>
      <c r="G5" s="8"/>
      <c r="H5" s="8"/>
      <c r="I5" s="9"/>
    </row>
    <row r="6" spans="1:9" ht="19.5" customHeight="1">
      <c r="A6" s="391" t="s">
        <v>3</v>
      </c>
      <c r="B6" s="391"/>
      <c r="C6" s="392" t="s">
        <v>4</v>
      </c>
      <c r="D6" s="392"/>
      <c r="E6" s="392"/>
      <c r="F6" s="392"/>
      <c r="G6" s="8"/>
      <c r="H6" s="8"/>
      <c r="I6" s="9"/>
    </row>
    <row r="7" spans="1:9" ht="27.75" customHeight="1">
      <c r="A7" s="391"/>
      <c r="B7" s="391"/>
      <c r="C7" s="393" t="str">
        <f>annee-1&amp;" correspond à la saison "&amp;annee-2&amp;" - "&amp;annee-1&amp;" 
"&amp;annee-2&amp;" correspond à la saison "&amp;annee-3&amp;" - "&amp;annee-2&amp;"  "</f>
        <v xml:space="preserve">2022 correspond à la saison 2021 - 2022 
2021 correspond à la saison 2020 - 2021  </v>
      </c>
      <c r="D7" s="393"/>
      <c r="E7" s="393"/>
      <c r="F7" s="393"/>
      <c r="G7" s="8"/>
      <c r="H7" s="8"/>
    </row>
    <row r="8" spans="1:9" ht="17.25" customHeight="1">
      <c r="B8" s="9"/>
      <c r="C8" s="10"/>
      <c r="D8" s="10"/>
      <c r="E8" s="10"/>
      <c r="F8" s="10"/>
      <c r="G8" s="11" t="s">
        <v>5</v>
      </c>
      <c r="H8" s="10"/>
    </row>
    <row r="9" spans="1:9" s="12" customFormat="1" ht="20.25" customHeight="1">
      <c r="A9" s="386" t="s">
        <v>6</v>
      </c>
      <c r="B9" s="386"/>
      <c r="C9" s="386"/>
      <c r="D9" s="386"/>
      <c r="E9" s="386" t="s">
        <v>7</v>
      </c>
      <c r="F9" s="386"/>
      <c r="G9" s="386"/>
      <c r="H9" s="386"/>
    </row>
    <row r="10" spans="1:9" s="16" customFormat="1" ht="19.5" customHeight="1">
      <c r="A10" s="13" t="s">
        <v>8</v>
      </c>
      <c r="B10" s="14"/>
      <c r="C10" s="15">
        <f>annee-2</f>
        <v>2021</v>
      </c>
      <c r="D10" s="15">
        <f>annee-1</f>
        <v>2022</v>
      </c>
      <c r="E10" s="13" t="s">
        <v>9</v>
      </c>
      <c r="F10" s="14"/>
      <c r="G10" s="15">
        <f>annee-2</f>
        <v>2021</v>
      </c>
      <c r="H10" s="15">
        <f>annee-1</f>
        <v>2022</v>
      </c>
    </row>
    <row r="11" spans="1:9" ht="16.5" customHeight="1">
      <c r="A11" s="17" t="s">
        <v>10</v>
      </c>
      <c r="B11" s="18"/>
      <c r="C11" s="19">
        <f>SUM(C12:C15)</f>
        <v>0</v>
      </c>
      <c r="D11" s="19">
        <f>SUM(D12:D15)</f>
        <v>0</v>
      </c>
      <c r="E11" s="20" t="s">
        <v>11</v>
      </c>
      <c r="F11" s="21"/>
      <c r="G11" s="22">
        <f>SUM(G12:G17)</f>
        <v>0</v>
      </c>
      <c r="H11" s="22">
        <f>SUM(H12:H17)</f>
        <v>0</v>
      </c>
    </row>
    <row r="12" spans="1:9">
      <c r="A12" s="23" t="s">
        <v>12</v>
      </c>
      <c r="B12" s="24"/>
      <c r="C12" s="25"/>
      <c r="D12" s="25"/>
      <c r="E12" s="23" t="s">
        <v>13</v>
      </c>
      <c r="F12" s="24"/>
      <c r="G12" s="26"/>
      <c r="H12" s="26"/>
    </row>
    <row r="13" spans="1:9">
      <c r="A13" s="23" t="s">
        <v>14</v>
      </c>
      <c r="B13" s="24"/>
      <c r="C13" s="25"/>
      <c r="D13" s="25"/>
      <c r="E13" s="23" t="s">
        <v>15</v>
      </c>
      <c r="F13" s="24"/>
      <c r="G13" s="25"/>
      <c r="H13" s="25"/>
    </row>
    <row r="14" spans="1:9">
      <c r="A14" s="23" t="s">
        <v>16</v>
      </c>
      <c r="B14" s="24"/>
      <c r="C14" s="25"/>
      <c r="D14" s="25"/>
      <c r="E14" s="23" t="s">
        <v>17</v>
      </c>
      <c r="F14" s="24"/>
      <c r="G14" s="25"/>
      <c r="H14" s="25"/>
    </row>
    <row r="15" spans="1:9">
      <c r="A15" s="23" t="s">
        <v>18</v>
      </c>
      <c r="B15" s="24"/>
      <c r="C15" s="25"/>
      <c r="D15" s="25"/>
      <c r="E15" s="23" t="s">
        <v>19</v>
      </c>
      <c r="F15" s="24"/>
      <c r="G15" s="25"/>
      <c r="H15" s="25"/>
    </row>
    <row r="16" spans="1:9">
      <c r="A16" s="17" t="s">
        <v>20</v>
      </c>
      <c r="B16" s="18"/>
      <c r="C16" s="22">
        <f>SUM(C17:C20)</f>
        <v>0</v>
      </c>
      <c r="D16" s="22">
        <f>SUM(D17:D20)</f>
        <v>0</v>
      </c>
      <c r="E16" s="23" t="s">
        <v>21</v>
      </c>
      <c r="F16" s="24"/>
      <c r="G16" s="25"/>
      <c r="H16" s="25"/>
    </row>
    <row r="17" spans="1:10">
      <c r="A17" s="23" t="s">
        <v>22</v>
      </c>
      <c r="B17" s="24"/>
      <c r="C17" s="282"/>
      <c r="D17" s="25"/>
      <c r="E17" s="23" t="s">
        <v>23</v>
      </c>
      <c r="F17" s="24"/>
      <c r="G17" s="25"/>
      <c r="H17" s="25"/>
    </row>
    <row r="18" spans="1:10">
      <c r="A18" s="27" t="s">
        <v>24</v>
      </c>
      <c r="B18" s="24"/>
      <c r="C18" s="25"/>
      <c r="D18" s="25"/>
      <c r="E18" s="23"/>
      <c r="F18" s="24"/>
      <c r="G18" s="25"/>
      <c r="H18" s="25"/>
    </row>
    <row r="19" spans="1:10">
      <c r="A19" s="23" t="s">
        <v>25</v>
      </c>
      <c r="B19" s="24"/>
      <c r="C19" s="349"/>
      <c r="D19" s="25"/>
      <c r="E19" s="28"/>
      <c r="F19" s="29"/>
      <c r="G19" s="25"/>
      <c r="H19" s="25"/>
    </row>
    <row r="20" spans="1:10">
      <c r="A20" s="23" t="s">
        <v>26</v>
      </c>
      <c r="B20" s="24"/>
      <c r="C20" s="25"/>
      <c r="D20" s="25"/>
      <c r="E20" s="30" t="s">
        <v>27</v>
      </c>
      <c r="F20" s="31"/>
      <c r="G20" s="25"/>
      <c r="H20" s="25"/>
    </row>
    <row r="21" spans="1:10">
      <c r="A21" s="17" t="s">
        <v>28</v>
      </c>
      <c r="B21" s="18"/>
      <c r="C21" s="22">
        <f>SUM(C22:C24)</f>
        <v>0</v>
      </c>
      <c r="D21" s="22">
        <f>SUM(D22:D24)</f>
        <v>0</v>
      </c>
      <c r="E21" s="30" t="s">
        <v>29</v>
      </c>
      <c r="F21" s="31"/>
      <c r="G21" s="25"/>
      <c r="H21" s="25"/>
    </row>
    <row r="22" spans="1:10">
      <c r="A22" s="23" t="s">
        <v>30</v>
      </c>
      <c r="B22" s="24"/>
      <c r="C22" s="25"/>
      <c r="D22" s="25"/>
      <c r="E22" s="23"/>
      <c r="F22" s="24"/>
      <c r="G22" s="26"/>
      <c r="H22" s="26"/>
    </row>
    <row r="23" spans="1:10">
      <c r="A23" s="23" t="s">
        <v>31</v>
      </c>
      <c r="B23" s="24"/>
      <c r="C23" s="25"/>
      <c r="D23" s="25"/>
      <c r="E23" s="23"/>
      <c r="F23" s="24"/>
      <c r="G23" s="32"/>
      <c r="H23" s="32"/>
    </row>
    <row r="24" spans="1:10">
      <c r="A24" s="33"/>
      <c r="B24" s="34"/>
      <c r="C24" s="25"/>
      <c r="D24" s="25"/>
      <c r="E24" s="30" t="s">
        <v>32</v>
      </c>
      <c r="F24" s="31"/>
      <c r="G24" s="25"/>
      <c r="H24" s="25"/>
    </row>
    <row r="25" spans="1:10">
      <c r="A25" s="35" t="s">
        <v>33</v>
      </c>
      <c r="B25" s="36"/>
      <c r="C25" s="37">
        <f>C11+C16+C21</f>
        <v>0</v>
      </c>
      <c r="D25" s="38">
        <f>D11+D16+D21</f>
        <v>0</v>
      </c>
      <c r="E25" s="35" t="s">
        <v>34</v>
      </c>
      <c r="F25" s="36"/>
      <c r="G25" s="37">
        <f>G11+G20+G21+G24</f>
        <v>0</v>
      </c>
      <c r="H25" s="37">
        <f>H11+H20+H21+H24</f>
        <v>0</v>
      </c>
    </row>
    <row r="26" spans="1:10">
      <c r="A26" s="39" t="s">
        <v>35</v>
      </c>
      <c r="B26" s="40"/>
      <c r="C26" s="25"/>
      <c r="D26" s="25"/>
      <c r="E26" s="39" t="s">
        <v>36</v>
      </c>
      <c r="F26" s="40"/>
      <c r="G26" s="32"/>
      <c r="H26" s="32"/>
    </row>
    <row r="27" spans="1:10">
      <c r="A27" s="23" t="s">
        <v>37</v>
      </c>
      <c r="B27" s="41"/>
      <c r="C27" s="25"/>
      <c r="D27" s="25"/>
      <c r="E27" s="23" t="s">
        <v>38</v>
      </c>
      <c r="F27" s="24"/>
      <c r="G27" s="32"/>
      <c r="H27" s="32"/>
    </row>
    <row r="28" spans="1:10">
      <c r="A28" s="23" t="s">
        <v>39</v>
      </c>
      <c r="B28" s="24"/>
      <c r="C28" s="25"/>
      <c r="D28" s="25"/>
      <c r="E28" s="23" t="s">
        <v>40</v>
      </c>
      <c r="F28" s="24"/>
      <c r="G28" s="32"/>
      <c r="H28" s="32"/>
    </row>
    <row r="29" spans="1:10">
      <c r="A29" s="23" t="s">
        <v>41</v>
      </c>
      <c r="B29" s="24"/>
      <c r="C29" s="282"/>
      <c r="D29" s="25"/>
      <c r="E29" s="23" t="s">
        <v>42</v>
      </c>
      <c r="F29" s="24"/>
      <c r="G29" s="32"/>
      <c r="H29" s="32"/>
    </row>
    <row r="30" spans="1:10">
      <c r="A30" s="23" t="s">
        <v>43</v>
      </c>
      <c r="B30" s="24"/>
      <c r="C30" s="25"/>
      <c r="D30" s="25"/>
      <c r="E30" s="42"/>
      <c r="F30" s="43"/>
      <c r="G30" s="32"/>
      <c r="H30" s="32"/>
    </row>
    <row r="31" spans="1:10">
      <c r="A31" s="23" t="s">
        <v>44</v>
      </c>
      <c r="B31" s="24"/>
      <c r="C31" s="25"/>
      <c r="D31" s="25"/>
      <c r="E31" s="23" t="s">
        <v>45</v>
      </c>
      <c r="F31" s="24"/>
      <c r="G31" s="32"/>
      <c r="H31" s="32"/>
      <c r="J31" s="44"/>
    </row>
    <row r="32" spans="1:10">
      <c r="A32" s="28" t="s">
        <v>46</v>
      </c>
      <c r="B32" s="29"/>
      <c r="C32" s="25"/>
      <c r="D32" s="25"/>
      <c r="E32" s="45" t="s">
        <v>47</v>
      </c>
      <c r="F32" s="46"/>
      <c r="G32" s="32"/>
      <c r="H32" s="32"/>
      <c r="J32" s="44"/>
    </row>
    <row r="33" spans="1:9">
      <c r="A33" s="47" t="s">
        <v>48</v>
      </c>
      <c r="B33" s="35"/>
      <c r="C33" s="37">
        <f>SUM(C26:C32)</f>
        <v>0</v>
      </c>
      <c r="D33" s="37">
        <f>SUM(D26:D32)</f>
        <v>0</v>
      </c>
      <c r="E33" s="47" t="s">
        <v>49</v>
      </c>
      <c r="F33" s="35"/>
      <c r="G33" s="48">
        <f>SUM(G26:G32)</f>
        <v>0</v>
      </c>
      <c r="H33" s="37">
        <f>SUM(H26:H32)</f>
        <v>0</v>
      </c>
    </row>
    <row r="34" spans="1:9" s="16" customFormat="1" ht="19.5" customHeight="1">
      <c r="A34" s="49" t="s">
        <v>50</v>
      </c>
      <c r="B34" s="50"/>
      <c r="C34" s="51">
        <f>C25+C33</f>
        <v>0</v>
      </c>
      <c r="D34" s="52">
        <f>D25+D33</f>
        <v>0</v>
      </c>
      <c r="E34" s="50" t="s">
        <v>51</v>
      </c>
      <c r="F34" s="53"/>
      <c r="G34" s="51">
        <f>G25+G33</f>
        <v>0</v>
      </c>
      <c r="H34" s="52">
        <f>H25+H33</f>
        <v>0</v>
      </c>
      <c r="I34" s="54"/>
    </row>
    <row r="35" spans="1:9" ht="14.1" customHeight="1"/>
    <row r="36" spans="1:9" ht="14.1" customHeight="1">
      <c r="D36" s="55"/>
      <c r="E36" s="56"/>
      <c r="G36" s="55" t="str">
        <f>IF(OR((G34-C34)&gt;1,(G34-C34)&lt;-1),"Déséquilibre","")</f>
        <v/>
      </c>
      <c r="H36" s="55" t="str">
        <f>IF(OR((H34-D34)&gt;1,(H34-D34)&lt;-1),"Déséquilibre","")</f>
        <v/>
      </c>
      <c r="I36" s="56"/>
    </row>
    <row r="37" spans="1:9" ht="14.1" customHeight="1">
      <c r="A37" s="281" t="s">
        <v>52</v>
      </c>
      <c r="C37" s="283"/>
    </row>
    <row r="38" spans="1:9" ht="14.1" customHeight="1"/>
    <row r="39" spans="1:9" ht="14.1" customHeight="1">
      <c r="A39" t="s">
        <v>53</v>
      </c>
    </row>
    <row r="40" spans="1:9" ht="14.1" customHeight="1">
      <c r="A40" s="387"/>
      <c r="B40" s="387"/>
      <c r="C40" s="387"/>
      <c r="D40" s="387"/>
      <c r="E40" s="387"/>
      <c r="F40" s="387"/>
      <c r="G40" s="387"/>
      <c r="H40" s="387"/>
      <c r="I40" s="387"/>
    </row>
    <row r="41" spans="1:9" ht="14.1" customHeight="1">
      <c r="A41" s="346" t="s">
        <v>351</v>
      </c>
    </row>
    <row r="43" spans="1:9">
      <c r="A43" t="s">
        <v>352</v>
      </c>
    </row>
    <row r="44" spans="1:9">
      <c r="A44" t="s">
        <v>54</v>
      </c>
    </row>
    <row r="45" spans="1:9" ht="12" customHeight="1"/>
    <row r="46" spans="1:9" ht="12" customHeight="1">
      <c r="A46" t="s">
        <v>353</v>
      </c>
    </row>
  </sheetData>
  <sheetProtection algorithmName="SHA-512" hashValue="oVTPhXPIJtEy+d5qxtd1TQzqNYBMDYwaM+vh5krOz51PINiQr5aAxWQ51o/QpB1sW/CDrN0I2vMcxTouXIImFQ==" saltValue="Nc+uYJviEzwdfk4tIAZPJw==" spinCount="100000" sheet="1" objects="1" scenarios="1"/>
  <mergeCells count="9">
    <mergeCell ref="A9:D9"/>
    <mergeCell ref="E9:H9"/>
    <mergeCell ref="A40:I40"/>
    <mergeCell ref="A1:B1"/>
    <mergeCell ref="A3:C3"/>
    <mergeCell ref="D4:E4"/>
    <mergeCell ref="A6:B7"/>
    <mergeCell ref="C6:F6"/>
    <mergeCell ref="C7:F7"/>
  </mergeCells>
  <pageMargins left="0.19685039370078741" right="0" top="0.82677165354330717" bottom="0.51181102362204722" header="0.27559055118110237" footer="0.15748031496062992"/>
  <pageSetup paperSize="9" scale="90" firstPageNumber="0" orientation="landscape" horizontalDpi="300" verticalDpi="300" r:id="rId1"/>
  <headerFooter>
    <oddHeader>&amp;L&amp;12&amp;ETableau A1</oddHeader>
    <oddFooter>&amp;LContrôle de Gestion&amp;C&amp;D&amp;RPage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4" tint="0.39997558519241921"/>
    <pageSetUpPr fitToPage="1"/>
  </sheetPr>
  <dimension ref="A1:I60"/>
  <sheetViews>
    <sheetView showGridLines="0" zoomScale="85" zoomScaleNormal="85" workbookViewId="0">
      <selection activeCell="C1" sqref="C1"/>
    </sheetView>
  </sheetViews>
  <sheetFormatPr baseColWidth="10" defaultColWidth="9.140625" defaultRowHeight="12.75"/>
  <cols>
    <col min="1" max="1" width="11.28515625" customWidth="1"/>
    <col min="2" max="2" width="29.28515625" customWidth="1"/>
    <col min="3" max="4" width="14" customWidth="1"/>
    <col min="5" max="5" width="15.42578125" customWidth="1"/>
    <col min="6" max="6" width="43.7109375" customWidth="1"/>
    <col min="7" max="7" width="12.140625" customWidth="1"/>
    <col min="8" max="9" width="12.5703125" customWidth="1"/>
    <col min="10" max="1025" width="11" customWidth="1"/>
  </cols>
  <sheetData>
    <row r="1" spans="1:9" ht="9" customHeight="1"/>
    <row r="2" spans="1:9" s="16" customFormat="1" ht="26.25" customHeight="1">
      <c r="A2" s="57" t="s">
        <v>55</v>
      </c>
      <c r="B2" s="58">
        <f ca="1">date</f>
        <v>45112</v>
      </c>
      <c r="C2" s="394" t="s">
        <v>2</v>
      </c>
      <c r="D2" s="394"/>
      <c r="E2" s="395">
        <f>nom</f>
        <v>0</v>
      </c>
      <c r="F2" s="395"/>
    </row>
    <row r="3" spans="1:9" ht="21" customHeight="1">
      <c r="A3" s="59"/>
      <c r="B3" s="60"/>
      <c r="C3" s="61"/>
      <c r="D3" s="61"/>
      <c r="E3" s="62"/>
      <c r="F3" s="62"/>
    </row>
    <row r="4" spans="1:9" ht="54" customHeight="1">
      <c r="A4" s="396" t="s">
        <v>56</v>
      </c>
      <c r="B4" s="396"/>
      <c r="C4" s="397" t="str">
        <f>"Attention : en cas d'exercice comptable sur une SAISON : 
"&amp;annee&amp;" correspond à la saison "&amp;annee-1&amp;"-"&amp;annee&amp;"
"&amp;annee-1&amp;" correspond à la saison "&amp;annee-2&amp;"-"&amp;annee-1&amp;""</f>
        <v>Attention : en cas d'exercice comptable sur une SAISON : 
2023 correspond à la saison 2022-2023
2022 correspond à la saison 2021-2022</v>
      </c>
      <c r="D4" s="397"/>
      <c r="E4" s="397"/>
      <c r="F4" s="397"/>
      <c r="G4" s="398"/>
      <c r="H4" s="398"/>
      <c r="I4" s="398"/>
    </row>
    <row r="5" spans="1:9" ht="30" customHeight="1">
      <c r="A5" s="63"/>
      <c r="B5" s="64"/>
      <c r="D5" s="63"/>
      <c r="E5" s="63"/>
      <c r="F5" s="63"/>
      <c r="G5" s="63"/>
      <c r="H5" s="11" t="s">
        <v>5</v>
      </c>
      <c r="I5" s="63"/>
    </row>
    <row r="6" spans="1:9" s="67" customFormat="1" ht="21" customHeight="1">
      <c r="A6" s="399" t="s">
        <v>57</v>
      </c>
      <c r="B6" s="399"/>
      <c r="C6" s="65">
        <f>annee-2</f>
        <v>2021</v>
      </c>
      <c r="D6" s="66">
        <f>annee-1</f>
        <v>2022</v>
      </c>
      <c r="E6" s="66">
        <f>annee</f>
        <v>2023</v>
      </c>
      <c r="F6" s="400" t="s">
        <v>58</v>
      </c>
      <c r="G6" s="65">
        <f>annee-2</f>
        <v>2021</v>
      </c>
      <c r="H6" s="66">
        <f>annee-1</f>
        <v>2022</v>
      </c>
      <c r="I6" s="66">
        <f>annee</f>
        <v>2023</v>
      </c>
    </row>
    <row r="7" spans="1:9" ht="43.5" customHeight="1">
      <c r="A7" s="399"/>
      <c r="B7" s="399"/>
      <c r="C7" s="68" t="s">
        <v>59</v>
      </c>
      <c r="D7" s="68" t="s">
        <v>59</v>
      </c>
      <c r="E7" s="68" t="s">
        <v>350</v>
      </c>
      <c r="F7" s="400"/>
      <c r="G7" s="68" t="s">
        <v>59</v>
      </c>
      <c r="H7" s="68" t="s">
        <v>59</v>
      </c>
      <c r="I7" s="68" t="s">
        <v>350</v>
      </c>
    </row>
    <row r="8" spans="1:9" ht="28.5" customHeight="1">
      <c r="A8" s="401" t="s">
        <v>60</v>
      </c>
      <c r="B8" s="401"/>
      <c r="C8" s="69">
        <f>SUM(C9:C13)</f>
        <v>0</v>
      </c>
      <c r="D8" s="69">
        <f>SUM(D9:D13)</f>
        <v>0</v>
      </c>
      <c r="E8" s="69">
        <f>SUM(E9:E13)</f>
        <v>0</v>
      </c>
      <c r="F8" s="70" t="s">
        <v>61</v>
      </c>
      <c r="G8" s="69">
        <f>SUM(G9:G11)</f>
        <v>0</v>
      </c>
      <c r="H8" s="69">
        <f>SUM(H9:H11)</f>
        <v>0</v>
      </c>
      <c r="I8" s="69">
        <f>SUM(I9:I11)</f>
        <v>0</v>
      </c>
    </row>
    <row r="9" spans="1:9">
      <c r="A9" s="402" t="s">
        <v>62</v>
      </c>
      <c r="B9" s="402"/>
      <c r="C9" s="71"/>
      <c r="D9" s="71"/>
      <c r="E9" s="71"/>
      <c r="F9" s="72" t="s">
        <v>63</v>
      </c>
      <c r="G9" s="73"/>
      <c r="H9" s="73"/>
      <c r="I9" s="71"/>
    </row>
    <row r="10" spans="1:9">
      <c r="A10" s="403" t="s">
        <v>64</v>
      </c>
      <c r="B10" s="403"/>
      <c r="C10" s="73"/>
      <c r="D10" s="73"/>
      <c r="E10" s="71"/>
      <c r="F10" s="72" t="s">
        <v>65</v>
      </c>
      <c r="G10" s="73"/>
      <c r="H10" s="73"/>
      <c r="I10" s="73"/>
    </row>
    <row r="11" spans="1:9">
      <c r="A11" s="403" t="s">
        <v>66</v>
      </c>
      <c r="B11" s="403"/>
      <c r="C11" s="73"/>
      <c r="D11" s="73"/>
      <c r="E11" s="71"/>
      <c r="F11" s="74" t="s">
        <v>67</v>
      </c>
      <c r="G11" s="75"/>
      <c r="H11" s="75"/>
      <c r="I11" s="75"/>
    </row>
    <row r="12" spans="1:9">
      <c r="A12" s="404" t="s">
        <v>68</v>
      </c>
      <c r="B12" s="404"/>
      <c r="C12" s="73"/>
      <c r="D12" s="73"/>
      <c r="E12" s="71"/>
      <c r="F12" s="76" t="s">
        <v>69</v>
      </c>
      <c r="G12" s="77"/>
      <c r="H12" s="77"/>
      <c r="I12" s="77"/>
    </row>
    <row r="13" spans="1:9">
      <c r="A13" s="405" t="s">
        <v>70</v>
      </c>
      <c r="B13" s="405"/>
      <c r="C13" s="75"/>
      <c r="D13" s="75"/>
      <c r="E13" s="71"/>
      <c r="F13" s="76" t="s">
        <v>71</v>
      </c>
      <c r="G13" s="77"/>
      <c r="H13" s="77"/>
      <c r="I13" s="77"/>
    </row>
    <row r="14" spans="1:9">
      <c r="A14" s="401" t="s">
        <v>72</v>
      </c>
      <c r="B14" s="401"/>
      <c r="C14" s="69">
        <f>SUM(C15:C20)</f>
        <v>0</v>
      </c>
      <c r="D14" s="69">
        <f>SUM(D15:D20)</f>
        <v>0</v>
      </c>
      <c r="E14" s="69">
        <f>SUM(E15:E20)</f>
        <v>0</v>
      </c>
      <c r="F14" s="78" t="s">
        <v>73</v>
      </c>
      <c r="G14" s="69">
        <f>SUM(G15:G29)</f>
        <v>0</v>
      </c>
      <c r="H14" s="69">
        <f>SUM(H15:H29)</f>
        <v>0</v>
      </c>
      <c r="I14" s="69">
        <f>SUM(I15:I29)</f>
        <v>0</v>
      </c>
    </row>
    <row r="15" spans="1:9">
      <c r="A15" s="403" t="s">
        <v>74</v>
      </c>
      <c r="B15" s="403"/>
      <c r="C15" s="73"/>
      <c r="D15" s="73"/>
      <c r="E15" s="71"/>
      <c r="F15" s="79" t="s">
        <v>75</v>
      </c>
      <c r="G15" s="80"/>
      <c r="H15" s="80"/>
      <c r="I15" s="80"/>
    </row>
    <row r="16" spans="1:9">
      <c r="A16" s="403" t="s">
        <v>76</v>
      </c>
      <c r="B16" s="403"/>
      <c r="C16" s="73"/>
      <c r="D16" s="73"/>
      <c r="E16" s="73"/>
      <c r="F16" s="81" t="s">
        <v>77</v>
      </c>
      <c r="G16" s="73"/>
      <c r="H16" s="73"/>
      <c r="I16" s="73"/>
    </row>
    <row r="17" spans="1:9">
      <c r="A17" s="403" t="s">
        <v>78</v>
      </c>
      <c r="B17" s="403"/>
      <c r="C17" s="73"/>
      <c r="D17" s="73"/>
      <c r="E17" s="71"/>
      <c r="F17" s="81"/>
      <c r="G17" s="73"/>
      <c r="H17" s="73"/>
      <c r="I17" s="71"/>
    </row>
    <row r="18" spans="1:9">
      <c r="A18" s="403" t="s">
        <v>79</v>
      </c>
      <c r="B18" s="403"/>
      <c r="C18" s="73"/>
      <c r="D18" s="73"/>
      <c r="E18" s="71"/>
      <c r="F18" s="81" t="s">
        <v>80</v>
      </c>
      <c r="G18" s="73"/>
      <c r="H18" s="73"/>
      <c r="I18" s="71"/>
    </row>
    <row r="19" spans="1:9">
      <c r="A19" s="403" t="s">
        <v>81</v>
      </c>
      <c r="B19" s="403"/>
      <c r="C19" s="73"/>
      <c r="D19" s="73"/>
      <c r="E19" s="71"/>
      <c r="F19" s="81"/>
      <c r="G19" s="73"/>
      <c r="H19" s="73"/>
      <c r="I19" s="71"/>
    </row>
    <row r="20" spans="1:9">
      <c r="A20" s="405" t="s">
        <v>82</v>
      </c>
      <c r="B20" s="405"/>
      <c r="C20" s="75"/>
      <c r="D20" s="75"/>
      <c r="E20" s="71"/>
      <c r="F20" s="82" t="s">
        <v>83</v>
      </c>
      <c r="G20" s="73"/>
      <c r="H20" s="73"/>
      <c r="I20" s="71"/>
    </row>
    <row r="21" spans="1:9">
      <c r="A21" s="401" t="s">
        <v>84</v>
      </c>
      <c r="B21" s="401"/>
      <c r="C21" s="69">
        <f>SUM(C22:C27)</f>
        <v>0</v>
      </c>
      <c r="D21" s="69">
        <f>SUM(D22:D27)</f>
        <v>0</v>
      </c>
      <c r="E21" s="69">
        <f>SUM(E22:E27)</f>
        <v>0</v>
      </c>
      <c r="F21" s="82" t="s">
        <v>85</v>
      </c>
      <c r="G21" s="73"/>
      <c r="H21" s="73"/>
      <c r="I21" s="71"/>
    </row>
    <row r="22" spans="1:9">
      <c r="A22" s="403" t="s">
        <v>86</v>
      </c>
      <c r="B22" s="403"/>
      <c r="C22" s="73"/>
      <c r="D22" s="73"/>
      <c r="E22" s="73"/>
      <c r="F22" s="83" t="s">
        <v>87</v>
      </c>
      <c r="G22" s="73"/>
      <c r="H22" s="73"/>
      <c r="I22" s="71"/>
    </row>
    <row r="23" spans="1:9">
      <c r="A23" s="403" t="s">
        <v>88</v>
      </c>
      <c r="B23" s="403"/>
      <c r="C23" s="73"/>
      <c r="D23" s="73"/>
      <c r="E23" s="73"/>
      <c r="F23" s="81"/>
      <c r="G23" s="73"/>
      <c r="H23" s="73"/>
      <c r="I23" s="71"/>
    </row>
    <row r="24" spans="1:9">
      <c r="A24" s="403" t="s">
        <v>89</v>
      </c>
      <c r="B24" s="403"/>
      <c r="C24" s="73"/>
      <c r="D24" s="73"/>
      <c r="E24" s="73"/>
      <c r="F24" s="81" t="s">
        <v>90</v>
      </c>
      <c r="G24" s="73"/>
      <c r="H24" s="73"/>
      <c r="I24" s="71"/>
    </row>
    <row r="25" spans="1:9">
      <c r="A25" s="403" t="s">
        <v>91</v>
      </c>
      <c r="B25" s="403"/>
      <c r="C25" s="73"/>
      <c r="D25" s="73"/>
      <c r="E25" s="73"/>
      <c r="F25" s="81"/>
      <c r="G25" s="73"/>
      <c r="H25" s="73"/>
      <c r="I25" s="71"/>
    </row>
    <row r="26" spans="1:9">
      <c r="A26" s="403" t="s">
        <v>92</v>
      </c>
      <c r="B26" s="403"/>
      <c r="C26" s="73"/>
      <c r="D26" s="73"/>
      <c r="E26" s="73"/>
      <c r="F26" s="81" t="s">
        <v>93</v>
      </c>
      <c r="G26" s="73"/>
      <c r="H26" s="73"/>
      <c r="I26" s="71"/>
    </row>
    <row r="27" spans="1:9">
      <c r="A27" s="405" t="s">
        <v>94</v>
      </c>
      <c r="B27" s="405"/>
      <c r="C27" s="75"/>
      <c r="D27" s="75"/>
      <c r="E27" s="75"/>
      <c r="F27" s="82"/>
      <c r="G27" s="73"/>
      <c r="H27" s="73"/>
      <c r="I27" s="71"/>
    </row>
    <row r="28" spans="1:9">
      <c r="A28" s="401" t="s">
        <v>95</v>
      </c>
      <c r="B28" s="401"/>
      <c r="C28" s="69">
        <f>C29</f>
        <v>0</v>
      </c>
      <c r="D28" s="69">
        <f>D29</f>
        <v>0</v>
      </c>
      <c r="E28" s="69">
        <f>E29</f>
        <v>0</v>
      </c>
      <c r="F28" s="81" t="s">
        <v>96</v>
      </c>
      <c r="G28" s="73"/>
      <c r="H28" s="73"/>
      <c r="I28" s="71"/>
    </row>
    <row r="29" spans="1:9">
      <c r="A29" s="406" t="s">
        <v>97</v>
      </c>
      <c r="B29" s="406"/>
      <c r="C29" s="71"/>
      <c r="D29" s="71"/>
      <c r="E29" s="71"/>
      <c r="F29" s="84" t="s">
        <v>98</v>
      </c>
      <c r="G29" s="75"/>
      <c r="H29" s="75"/>
      <c r="I29" s="71"/>
    </row>
    <row r="30" spans="1:9">
      <c r="A30" s="401" t="s">
        <v>99</v>
      </c>
      <c r="B30" s="401"/>
      <c r="C30" s="69">
        <f>SUM(C31:C32)</f>
        <v>0</v>
      </c>
      <c r="D30" s="69">
        <f>SUM(D31:D32)</f>
        <v>0</v>
      </c>
      <c r="E30" s="69">
        <f>SUM(E31:E32)</f>
        <v>0</v>
      </c>
      <c r="F30" s="78" t="s">
        <v>100</v>
      </c>
      <c r="G30" s="69">
        <f>SUM(G31:G33)</f>
        <v>0</v>
      </c>
      <c r="H30" s="69">
        <f>SUM(H31:H33)</f>
        <v>0</v>
      </c>
      <c r="I30" s="69">
        <f>SUM(I31:I33)</f>
        <v>0</v>
      </c>
    </row>
    <row r="31" spans="1:9">
      <c r="A31" s="403" t="s">
        <v>101</v>
      </c>
      <c r="B31" s="403"/>
      <c r="C31" s="73"/>
      <c r="D31" s="73"/>
      <c r="E31" s="73"/>
      <c r="F31" s="72" t="s">
        <v>102</v>
      </c>
      <c r="G31" s="73"/>
      <c r="H31" s="73"/>
      <c r="I31" s="73"/>
    </row>
    <row r="32" spans="1:9">
      <c r="A32" s="407" t="s">
        <v>103</v>
      </c>
      <c r="B32" s="407"/>
      <c r="C32" s="71"/>
      <c r="D32" s="71"/>
      <c r="E32" s="71"/>
      <c r="F32" s="72" t="s">
        <v>104</v>
      </c>
      <c r="G32" s="73"/>
      <c r="H32" s="73"/>
      <c r="I32" s="71"/>
    </row>
    <row r="33" spans="1:9">
      <c r="A33" s="408" t="s">
        <v>105</v>
      </c>
      <c r="B33" s="408"/>
      <c r="C33" s="342"/>
      <c r="D33" s="77"/>
      <c r="E33" s="341"/>
      <c r="F33" s="74"/>
      <c r="G33" s="75"/>
      <c r="H33" s="75"/>
      <c r="I33" s="75"/>
    </row>
    <row r="34" spans="1:9">
      <c r="A34" s="401" t="s">
        <v>106</v>
      </c>
      <c r="B34" s="401"/>
      <c r="C34" s="69">
        <f>C35</f>
        <v>0</v>
      </c>
      <c r="D34" s="69">
        <f>D35</f>
        <v>0</v>
      </c>
      <c r="E34" s="69">
        <f>E35</f>
        <v>0</v>
      </c>
      <c r="F34" s="78" t="s">
        <v>107</v>
      </c>
      <c r="G34" s="69">
        <f>G35</f>
        <v>0</v>
      </c>
      <c r="H34" s="69">
        <f>H35</f>
        <v>0</v>
      </c>
      <c r="I34" s="69">
        <f>I35</f>
        <v>0</v>
      </c>
    </row>
    <row r="35" spans="1:9">
      <c r="A35" s="406" t="s">
        <v>108</v>
      </c>
      <c r="B35" s="406"/>
      <c r="C35" s="85"/>
      <c r="D35" s="85"/>
      <c r="E35" s="85"/>
      <c r="F35" s="74" t="s">
        <v>109</v>
      </c>
      <c r="G35" s="73"/>
      <c r="H35" s="73"/>
      <c r="I35" s="73"/>
    </row>
    <row r="36" spans="1:9">
      <c r="A36" s="401" t="s">
        <v>110</v>
      </c>
      <c r="B36" s="401"/>
      <c r="C36" s="69">
        <f>SUM(C37:C39)</f>
        <v>0</v>
      </c>
      <c r="D36" s="69">
        <f>SUM(D37:D39)</f>
        <v>0</v>
      </c>
      <c r="E36" s="69">
        <f>SUM(E37:E39)</f>
        <v>0</v>
      </c>
      <c r="F36" s="78" t="s">
        <v>111</v>
      </c>
      <c r="G36" s="69">
        <f>SUM(G37:G39)</f>
        <v>0</v>
      </c>
      <c r="H36" s="69">
        <f>SUM(H37:H39)</f>
        <v>0</v>
      </c>
      <c r="I36" s="69">
        <f>SUM(I37:I39)</f>
        <v>0</v>
      </c>
    </row>
    <row r="37" spans="1:9" ht="12.75" customHeight="1">
      <c r="A37" s="409" t="s">
        <v>112</v>
      </c>
      <c r="B37" s="409"/>
      <c r="C37" s="73"/>
      <c r="D37" s="73"/>
      <c r="E37" s="73"/>
      <c r="F37" s="86" t="s">
        <v>113</v>
      </c>
      <c r="G37" s="73"/>
      <c r="H37" s="73"/>
      <c r="I37" s="73"/>
    </row>
    <row r="38" spans="1:9" ht="25.5" customHeight="1">
      <c r="A38" s="409" t="s">
        <v>114</v>
      </c>
      <c r="B38" s="409"/>
      <c r="C38" s="73"/>
      <c r="D38" s="73"/>
      <c r="E38" s="73"/>
      <c r="F38" s="86" t="s">
        <v>115</v>
      </c>
      <c r="G38" s="73"/>
      <c r="H38" s="73"/>
      <c r="I38" s="73"/>
    </row>
    <row r="39" spans="1:9">
      <c r="A39" s="410"/>
      <c r="B39" s="410"/>
      <c r="C39" s="75"/>
      <c r="D39" s="75"/>
      <c r="E39" s="75"/>
      <c r="F39" s="87" t="s">
        <v>116</v>
      </c>
      <c r="G39" s="75"/>
      <c r="H39" s="75"/>
      <c r="I39" s="75"/>
    </row>
    <row r="40" spans="1:9" ht="13.5" customHeight="1">
      <c r="A40" s="411" t="s">
        <v>117</v>
      </c>
      <c r="B40" s="411"/>
      <c r="C40" s="73"/>
      <c r="D40" s="73"/>
      <c r="E40" s="73"/>
      <c r="F40" s="76" t="s">
        <v>118</v>
      </c>
      <c r="G40" s="77"/>
      <c r="H40" s="77"/>
      <c r="I40" s="71"/>
    </row>
    <row r="41" spans="1:9">
      <c r="A41" s="408" t="s">
        <v>119</v>
      </c>
      <c r="B41" s="408"/>
      <c r="C41" s="77"/>
      <c r="D41" s="77"/>
      <c r="E41" s="77"/>
      <c r="F41" s="76" t="s">
        <v>120</v>
      </c>
      <c r="G41" s="77"/>
      <c r="H41" s="77"/>
      <c r="I41" s="77"/>
    </row>
    <row r="42" spans="1:9">
      <c r="A42" s="412" t="s">
        <v>121</v>
      </c>
      <c r="B42" s="412"/>
      <c r="C42" s="88">
        <f>SUM(C8+C14+C21+C28+C30+C33+C34+C36+C40+C41)</f>
        <v>0</v>
      </c>
      <c r="D42" s="88">
        <f>SUM(D8+D14+D21+D28+D30+D33+D34+D36+D40+D41)</f>
        <v>0</v>
      </c>
      <c r="E42" s="88">
        <f>SUM(E8+E14+E21+E28+E30+E33+E34+E36+E40+E41)</f>
        <v>0</v>
      </c>
      <c r="F42" s="89" t="s">
        <v>122</v>
      </c>
      <c r="G42" s="88">
        <f>SUM(G8+G12+G13+G14+G30+G34+G36+G40+G41)</f>
        <v>0</v>
      </c>
      <c r="H42" s="88">
        <f>SUM(H8+H12+H13+H14+H30+H34+H36+H40+H41)</f>
        <v>0</v>
      </c>
      <c r="I42" s="88">
        <f>SUM(I8+I12+I13+I14+I30+I34+I36+I40+I41)</f>
        <v>0</v>
      </c>
    </row>
    <row r="43" spans="1:9" s="44" customFormat="1" ht="7.5" customHeight="1">
      <c r="A43" s="90"/>
      <c r="B43" s="90"/>
      <c r="F43" s="91"/>
    </row>
    <row r="44" spans="1:9" ht="15.75" hidden="1">
      <c r="A44" s="92"/>
      <c r="B44" s="93"/>
      <c r="C44" s="94">
        <f>annee-1</f>
        <v>2022</v>
      </c>
      <c r="D44" s="413">
        <f>annee</f>
        <v>2023</v>
      </c>
      <c r="E44" s="413"/>
      <c r="F44" s="95"/>
      <c r="G44" s="96"/>
      <c r="H44" s="96"/>
      <c r="I44" s="96"/>
    </row>
    <row r="45" spans="1:9" ht="38.25" hidden="1">
      <c r="A45" s="92"/>
      <c r="B45" s="93"/>
      <c r="C45" s="97" t="s">
        <v>59</v>
      </c>
      <c r="D45" s="98" t="s">
        <v>123</v>
      </c>
      <c r="E45" s="68" t="s">
        <v>124</v>
      </c>
      <c r="F45" s="99"/>
      <c r="G45" s="96"/>
      <c r="H45" s="96"/>
      <c r="I45" s="96"/>
    </row>
    <row r="46" spans="1:9" ht="15.75">
      <c r="A46" s="414" t="s">
        <v>125</v>
      </c>
      <c r="B46" s="414"/>
      <c r="C46" s="100">
        <f>G$42-C$42</f>
        <v>0</v>
      </c>
      <c r="D46" s="100">
        <f>H$42-D$42</f>
        <v>0</v>
      </c>
      <c r="E46" s="100">
        <f>I$42-E$42</f>
        <v>0</v>
      </c>
      <c r="F46" s="99"/>
      <c r="G46" s="96"/>
      <c r="H46" s="96"/>
      <c r="I46" s="96"/>
    </row>
    <row r="47" spans="1:9" ht="15.75">
      <c r="A47" s="90"/>
      <c r="B47" s="92"/>
      <c r="C47" s="101"/>
      <c r="D47" s="102"/>
      <c r="E47" s="102"/>
      <c r="F47" s="99"/>
      <c r="G47" s="96"/>
      <c r="H47" s="96"/>
      <c r="I47" s="96"/>
    </row>
    <row r="48" spans="1:9">
      <c r="A48" s="401" t="s">
        <v>126</v>
      </c>
      <c r="B48" s="401"/>
      <c r="C48" s="69">
        <f>SUM(C49:C52)</f>
        <v>0</v>
      </c>
      <c r="D48" s="69">
        <f>SUM(D49:D52)</f>
        <v>0</v>
      </c>
      <c r="E48" s="69">
        <f>SUM(E49:E52)</f>
        <v>0</v>
      </c>
      <c r="F48" s="78" t="s">
        <v>127</v>
      </c>
      <c r="G48" s="69">
        <f>SUM(G49:G52)</f>
        <v>0</v>
      </c>
      <c r="H48" s="69">
        <f>SUM(H49:H52)</f>
        <v>0</v>
      </c>
      <c r="I48" s="69">
        <f>SUM(I49:I52)</f>
        <v>0</v>
      </c>
    </row>
    <row r="49" spans="1:9">
      <c r="A49" s="358" t="s">
        <v>362</v>
      </c>
      <c r="B49" s="358"/>
      <c r="C49" s="73"/>
      <c r="D49" s="73"/>
      <c r="E49" s="73"/>
      <c r="F49" s="103" t="s">
        <v>128</v>
      </c>
      <c r="G49" s="73"/>
      <c r="H49" s="73"/>
      <c r="I49" s="73"/>
    </row>
    <row r="50" spans="1:9">
      <c r="A50" s="358" t="s">
        <v>129</v>
      </c>
      <c r="B50" s="358"/>
      <c r="C50" s="73"/>
      <c r="D50" s="73"/>
      <c r="E50" s="73"/>
      <c r="F50" s="103" t="s">
        <v>130</v>
      </c>
      <c r="G50" s="73"/>
      <c r="H50" s="73"/>
      <c r="I50" s="73"/>
    </row>
    <row r="51" spans="1:9">
      <c r="A51" s="358" t="s">
        <v>131</v>
      </c>
      <c r="B51" s="358"/>
      <c r="C51" s="73"/>
      <c r="D51" s="73"/>
      <c r="E51" s="73"/>
      <c r="F51" s="103"/>
      <c r="G51" s="73"/>
      <c r="H51" s="73"/>
      <c r="I51" s="73"/>
    </row>
    <row r="52" spans="1:9" ht="13.5" customHeight="1">
      <c r="A52" s="407" t="s">
        <v>132</v>
      </c>
      <c r="B52" s="407"/>
      <c r="C52" s="75"/>
      <c r="D52" s="75"/>
      <c r="E52" s="75"/>
      <c r="F52" s="104" t="s">
        <v>133</v>
      </c>
      <c r="G52" s="75"/>
      <c r="H52" s="75"/>
      <c r="I52" s="75"/>
    </row>
    <row r="53" spans="1:9" ht="16.7" customHeight="1"/>
    <row r="54" spans="1:9">
      <c r="A54" t="s">
        <v>52</v>
      </c>
    </row>
    <row r="56" spans="1:9">
      <c r="A56" t="s">
        <v>134</v>
      </c>
    </row>
    <row r="58" spans="1:9">
      <c r="A58" t="s">
        <v>135</v>
      </c>
    </row>
    <row r="60" spans="1:9">
      <c r="A60" t="s">
        <v>136</v>
      </c>
    </row>
  </sheetData>
  <sheetProtection password="CF11" sheet="1" objects="1" scenarios="1"/>
  <mergeCells count="46">
    <mergeCell ref="A52:B52"/>
    <mergeCell ref="A41:B41"/>
    <mergeCell ref="A42:B42"/>
    <mergeCell ref="D44:E44"/>
    <mergeCell ref="A46:B46"/>
    <mergeCell ref="A48:B48"/>
    <mergeCell ref="A36:B36"/>
    <mergeCell ref="A37:B37"/>
    <mergeCell ref="A38:B38"/>
    <mergeCell ref="A39:B39"/>
    <mergeCell ref="A40:B40"/>
    <mergeCell ref="A31:B31"/>
    <mergeCell ref="A32:B32"/>
    <mergeCell ref="A33:B33"/>
    <mergeCell ref="A34:B34"/>
    <mergeCell ref="A35:B35"/>
    <mergeCell ref="A26:B26"/>
    <mergeCell ref="A27:B27"/>
    <mergeCell ref="A28:B28"/>
    <mergeCell ref="A29:B29"/>
    <mergeCell ref="A30:B30"/>
    <mergeCell ref="A21:B21"/>
    <mergeCell ref="A22:B22"/>
    <mergeCell ref="A23:B23"/>
    <mergeCell ref="A24:B24"/>
    <mergeCell ref="A25:B25"/>
    <mergeCell ref="A16:B16"/>
    <mergeCell ref="A17:B17"/>
    <mergeCell ref="A18:B18"/>
    <mergeCell ref="A19:B19"/>
    <mergeCell ref="A20:B20"/>
    <mergeCell ref="A11:B11"/>
    <mergeCell ref="A12:B12"/>
    <mergeCell ref="A13:B13"/>
    <mergeCell ref="A14:B14"/>
    <mergeCell ref="A15:B15"/>
    <mergeCell ref="A6:B7"/>
    <mergeCell ref="F6:F7"/>
    <mergeCell ref="A8:B8"/>
    <mergeCell ref="A9:B9"/>
    <mergeCell ref="A10:B10"/>
    <mergeCell ref="C2:D2"/>
    <mergeCell ref="E2:F2"/>
    <mergeCell ref="A4:B4"/>
    <mergeCell ref="C4:F4"/>
    <mergeCell ref="G4:I4"/>
  </mergeCells>
  <pageMargins left="0.19685039370078741" right="0" top="0.35433070866141736" bottom="0.19685039370078741" header="0.15748031496062992" footer="0.15748031496062992"/>
  <pageSetup paperSize="9" scale="73" firstPageNumber="0" orientation="landscape" horizontalDpi="300" verticalDpi="300" r:id="rId1"/>
  <headerFooter>
    <oddHeader>&amp;L&amp;16&amp;ETableau A2</oddHeader>
    <oddFooter>&amp;LContrôle de Gestion&amp;C&amp;D&amp;RPage 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C54"/>
  <sheetViews>
    <sheetView showGridLines="0" zoomScale="85" zoomScaleNormal="85" workbookViewId="0">
      <selection activeCell="B1" sqref="B1:C1"/>
    </sheetView>
  </sheetViews>
  <sheetFormatPr baseColWidth="10" defaultRowHeight="15.75"/>
  <cols>
    <col min="1" max="1" width="15.42578125" style="306" customWidth="1"/>
    <col min="2" max="2" width="33.42578125" style="305" customWidth="1"/>
    <col min="3" max="3" width="142.140625" style="305" customWidth="1"/>
    <col min="4" max="16384" width="11.42578125" style="304"/>
  </cols>
  <sheetData>
    <row r="1" spans="1:3" ht="29.25" thickBot="1">
      <c r="B1" s="420" t="s">
        <v>331</v>
      </c>
      <c r="C1" s="421"/>
    </row>
    <row r="2" spans="1:3" s="315" customFormat="1" ht="21.75" thickBot="1">
      <c r="A2" s="316"/>
      <c r="B2" s="416" t="s">
        <v>3</v>
      </c>
      <c r="C2" s="417"/>
    </row>
    <row r="3" spans="1:3" ht="44.25" customHeight="1">
      <c r="A3" s="425" t="s">
        <v>7</v>
      </c>
      <c r="B3" s="313" t="s">
        <v>11</v>
      </c>
      <c r="C3" s="312" t="s">
        <v>330</v>
      </c>
    </row>
    <row r="4" spans="1:3" ht="22.5" customHeight="1">
      <c r="A4" s="426"/>
      <c r="B4" s="311" t="s">
        <v>329</v>
      </c>
      <c r="C4" s="330" t="s">
        <v>328</v>
      </c>
    </row>
    <row r="5" spans="1:3" ht="21" customHeight="1">
      <c r="A5" s="426"/>
      <c r="B5" s="311" t="s">
        <v>327</v>
      </c>
      <c r="C5" s="330" t="s">
        <v>326</v>
      </c>
    </row>
    <row r="6" spans="1:3" ht="21" customHeight="1">
      <c r="A6" s="426"/>
      <c r="B6" s="311" t="s">
        <v>325</v>
      </c>
      <c r="C6" s="330" t="s">
        <v>324</v>
      </c>
    </row>
    <row r="7" spans="1:3" ht="21" customHeight="1">
      <c r="A7" s="426"/>
      <c r="B7" s="311" t="s">
        <v>323</v>
      </c>
      <c r="C7" s="330" t="s">
        <v>322</v>
      </c>
    </row>
    <row r="8" spans="1:3" ht="36.75" customHeight="1">
      <c r="A8" s="426"/>
      <c r="B8" s="311" t="s">
        <v>321</v>
      </c>
      <c r="C8" s="330" t="s">
        <v>320</v>
      </c>
    </row>
    <row r="9" spans="1:3" ht="13.5" hidden="1" customHeight="1" thickBot="1">
      <c r="A9" s="426"/>
      <c r="B9" s="311"/>
      <c r="C9" s="330"/>
    </row>
    <row r="10" spans="1:3" ht="40.5" customHeight="1">
      <c r="A10" s="426"/>
      <c r="B10" s="311" t="s">
        <v>319</v>
      </c>
      <c r="C10" s="330" t="s">
        <v>342</v>
      </c>
    </row>
    <row r="11" spans="1:3" ht="30">
      <c r="A11" s="426"/>
      <c r="B11" s="311" t="s">
        <v>318</v>
      </c>
      <c r="C11" s="330" t="s">
        <v>317</v>
      </c>
    </row>
    <row r="12" spans="1:3" ht="25.5" customHeight="1">
      <c r="A12" s="426"/>
      <c r="B12" s="418" t="s">
        <v>316</v>
      </c>
      <c r="C12" s="330" t="s">
        <v>315</v>
      </c>
    </row>
    <row r="13" spans="1:3" ht="30">
      <c r="A13" s="426"/>
      <c r="B13" s="418"/>
      <c r="C13" s="330" t="s">
        <v>314</v>
      </c>
    </row>
    <row r="14" spans="1:3" ht="40.5" customHeight="1" thickBot="1">
      <c r="A14" s="427"/>
      <c r="B14" s="419"/>
      <c r="C14" s="314" t="s">
        <v>313</v>
      </c>
    </row>
    <row r="15" spans="1:3" ht="30">
      <c r="A15" s="422" t="s">
        <v>6</v>
      </c>
      <c r="B15" s="320" t="s">
        <v>312</v>
      </c>
      <c r="C15" s="312" t="s">
        <v>311</v>
      </c>
    </row>
    <row r="16" spans="1:3" ht="24.75" customHeight="1">
      <c r="A16" s="423"/>
      <c r="B16" s="319" t="s">
        <v>310</v>
      </c>
      <c r="C16" s="330" t="s">
        <v>309</v>
      </c>
    </row>
    <row r="17" spans="1:3" ht="28.5" customHeight="1">
      <c r="A17" s="423"/>
      <c r="B17" s="318" t="s">
        <v>308</v>
      </c>
      <c r="C17" s="330" t="s">
        <v>307</v>
      </c>
    </row>
    <row r="18" spans="1:3" ht="30">
      <c r="A18" s="423"/>
      <c r="B18" s="318" t="s">
        <v>306</v>
      </c>
      <c r="C18" s="330" t="s">
        <v>305</v>
      </c>
    </row>
    <row r="19" spans="1:3" ht="25.5" customHeight="1">
      <c r="A19" s="423"/>
      <c r="B19" s="318" t="s">
        <v>304</v>
      </c>
      <c r="C19" s="330" t="s">
        <v>303</v>
      </c>
    </row>
    <row r="20" spans="1:3" ht="35.25" customHeight="1">
      <c r="A20" s="423"/>
      <c r="B20" s="319" t="s">
        <v>160</v>
      </c>
      <c r="C20" s="330" t="s">
        <v>302</v>
      </c>
    </row>
    <row r="21" spans="1:3" ht="22.5" customHeight="1">
      <c r="A21" s="423"/>
      <c r="B21" s="319" t="s">
        <v>301</v>
      </c>
      <c r="C21" s="330" t="s">
        <v>300</v>
      </c>
    </row>
    <row r="22" spans="1:3" ht="30">
      <c r="A22" s="423"/>
      <c r="B22" s="318" t="s">
        <v>299</v>
      </c>
      <c r="C22" s="330" t="s">
        <v>343</v>
      </c>
    </row>
    <row r="23" spans="1:3" ht="30">
      <c r="A23" s="423"/>
      <c r="B23" s="318" t="s">
        <v>298</v>
      </c>
      <c r="C23" s="330" t="s">
        <v>297</v>
      </c>
    </row>
    <row r="24" spans="1:3" ht="24" customHeight="1">
      <c r="A24" s="423"/>
      <c r="B24" s="318" t="s">
        <v>296</v>
      </c>
      <c r="C24" s="330" t="s">
        <v>295</v>
      </c>
    </row>
    <row r="25" spans="1:3" ht="30.75" thickBot="1">
      <c r="A25" s="424"/>
      <c r="B25" s="317" t="s">
        <v>294</v>
      </c>
      <c r="C25" s="314" t="s">
        <v>293</v>
      </c>
    </row>
    <row r="26" spans="1:3" ht="16.5" thickBot="1"/>
    <row r="27" spans="1:3" s="315" customFormat="1" ht="21.75" thickBot="1">
      <c r="A27" s="316"/>
      <c r="B27" s="416" t="s">
        <v>56</v>
      </c>
      <c r="C27" s="417"/>
    </row>
    <row r="28" spans="1:3" ht="30">
      <c r="A28" s="425" t="s">
        <v>57</v>
      </c>
      <c r="B28" s="313" t="s">
        <v>292</v>
      </c>
      <c r="C28" s="312" t="s">
        <v>291</v>
      </c>
    </row>
    <row r="29" spans="1:3" ht="30">
      <c r="A29" s="426"/>
      <c r="B29" s="311" t="s">
        <v>290</v>
      </c>
      <c r="C29" s="330" t="s">
        <v>289</v>
      </c>
    </row>
    <row r="30" spans="1:3" ht="30">
      <c r="A30" s="426"/>
      <c r="B30" s="311" t="s">
        <v>288</v>
      </c>
      <c r="C30" s="330" t="s">
        <v>287</v>
      </c>
    </row>
    <row r="31" spans="1:3" ht="30">
      <c r="A31" s="426"/>
      <c r="B31" s="311" t="s">
        <v>286</v>
      </c>
      <c r="C31" s="330" t="s">
        <v>285</v>
      </c>
    </row>
    <row r="32" spans="1:3" ht="21.75" customHeight="1">
      <c r="A32" s="426"/>
      <c r="B32" s="311" t="s">
        <v>284</v>
      </c>
      <c r="C32" s="330" t="s">
        <v>283</v>
      </c>
    </row>
    <row r="33" spans="1:3" ht="30">
      <c r="A33" s="426"/>
      <c r="B33" s="311" t="s">
        <v>282</v>
      </c>
      <c r="C33" s="330" t="s">
        <v>344</v>
      </c>
    </row>
    <row r="34" spans="1:3" ht="12.75">
      <c r="A34" s="426"/>
      <c r="B34" s="418" t="s">
        <v>281</v>
      </c>
      <c r="C34" s="415" t="s">
        <v>280</v>
      </c>
    </row>
    <row r="35" spans="1:3" ht="12.75">
      <c r="A35" s="426"/>
      <c r="B35" s="418"/>
      <c r="C35" s="415"/>
    </row>
    <row r="36" spans="1:3" ht="15">
      <c r="A36" s="426"/>
      <c r="B36" s="311" t="s">
        <v>279</v>
      </c>
      <c r="C36" s="330" t="s">
        <v>278</v>
      </c>
    </row>
    <row r="37" spans="1:3" ht="24.75" customHeight="1">
      <c r="A37" s="426"/>
      <c r="B37" s="311" t="s">
        <v>277</v>
      </c>
      <c r="C37" s="330" t="s">
        <v>358</v>
      </c>
    </row>
    <row r="38" spans="1:3" ht="30">
      <c r="A38" s="426"/>
      <c r="B38" s="418" t="s">
        <v>276</v>
      </c>
      <c r="C38" s="330" t="s">
        <v>275</v>
      </c>
    </row>
    <row r="39" spans="1:3" ht="30.75" thickBot="1">
      <c r="A39" s="427"/>
      <c r="B39" s="419"/>
      <c r="C39" s="314" t="s">
        <v>274</v>
      </c>
    </row>
    <row r="40" spans="1:3" ht="21.75" customHeight="1">
      <c r="A40" s="428" t="s">
        <v>273</v>
      </c>
      <c r="B40" s="313" t="s">
        <v>272</v>
      </c>
      <c r="C40" s="312" t="s">
        <v>271</v>
      </c>
    </row>
    <row r="41" spans="1:3" ht="21.75" customHeight="1">
      <c r="A41" s="429"/>
      <c r="B41" s="311" t="s">
        <v>270</v>
      </c>
      <c r="C41" s="330" t="s">
        <v>269</v>
      </c>
    </row>
    <row r="42" spans="1:3" ht="21.75" customHeight="1">
      <c r="A42" s="429"/>
      <c r="B42" s="311" t="s">
        <v>268</v>
      </c>
      <c r="C42" s="330" t="s">
        <v>267</v>
      </c>
    </row>
    <row r="43" spans="1:3" ht="21.75" customHeight="1">
      <c r="A43" s="429"/>
      <c r="B43" s="311" t="s">
        <v>266</v>
      </c>
      <c r="C43" s="330" t="s">
        <v>265</v>
      </c>
    </row>
    <row r="44" spans="1:3" ht="25.5" customHeight="1">
      <c r="A44" s="429"/>
      <c r="B44" s="311" t="s">
        <v>264</v>
      </c>
      <c r="C44" s="330" t="s">
        <v>263</v>
      </c>
    </row>
    <row r="45" spans="1:3" ht="24" customHeight="1">
      <c r="A45" s="429"/>
      <c r="B45" s="311" t="s">
        <v>262</v>
      </c>
      <c r="C45" s="330" t="s">
        <v>261</v>
      </c>
    </row>
    <row r="46" spans="1:3" ht="24" customHeight="1">
      <c r="A46" s="429"/>
      <c r="B46" s="311" t="s">
        <v>260</v>
      </c>
      <c r="C46" s="330" t="s">
        <v>259</v>
      </c>
    </row>
    <row r="47" spans="1:3" ht="30">
      <c r="A47" s="429"/>
      <c r="B47" s="311" t="s">
        <v>258</v>
      </c>
      <c r="C47" s="330" t="s">
        <v>257</v>
      </c>
    </row>
    <row r="48" spans="1:3" ht="30">
      <c r="A48" s="429"/>
      <c r="B48" s="311" t="s">
        <v>256</v>
      </c>
      <c r="C48" s="330" t="s">
        <v>255</v>
      </c>
    </row>
    <row r="49" spans="1:3" ht="16.5" customHeight="1">
      <c r="A49" s="429"/>
      <c r="B49" s="418" t="s">
        <v>254</v>
      </c>
      <c r="C49" s="415" t="s">
        <v>253</v>
      </c>
    </row>
    <row r="50" spans="1:3" ht="12.75">
      <c r="A50" s="429"/>
      <c r="B50" s="418"/>
      <c r="C50" s="415"/>
    </row>
    <row r="51" spans="1:3" ht="30">
      <c r="A51" s="310"/>
      <c r="B51" s="418" t="s">
        <v>252</v>
      </c>
      <c r="C51" s="330" t="s">
        <v>251</v>
      </c>
    </row>
    <row r="52" spans="1:3">
      <c r="A52" s="309"/>
      <c r="B52" s="418"/>
      <c r="C52" s="330" t="s">
        <v>250</v>
      </c>
    </row>
    <row r="53" spans="1:3">
      <c r="A53" s="309"/>
      <c r="B53" s="418"/>
      <c r="C53" s="330" t="s">
        <v>249</v>
      </c>
    </row>
    <row r="54" spans="1:3" ht="16.5" thickBot="1">
      <c r="A54" s="308"/>
      <c r="B54" s="419"/>
      <c r="C54" s="307" t="s">
        <v>248</v>
      </c>
    </row>
  </sheetData>
  <sheetProtection password="CF11" sheet="1" objects="1" scenarios="1"/>
  <mergeCells count="14">
    <mergeCell ref="A15:A25"/>
    <mergeCell ref="A28:A39"/>
    <mergeCell ref="A40:A50"/>
    <mergeCell ref="A3:A14"/>
    <mergeCell ref="B51:B54"/>
    <mergeCell ref="B38:B39"/>
    <mergeCell ref="B49:B50"/>
    <mergeCell ref="C49:C50"/>
    <mergeCell ref="B2:C2"/>
    <mergeCell ref="B12:B14"/>
    <mergeCell ref="B1:C1"/>
    <mergeCell ref="B27:C27"/>
    <mergeCell ref="B34:B35"/>
    <mergeCell ref="C34:C35"/>
  </mergeCells>
  <hyperlinks>
    <hyperlink ref="C23" r:id="rId1" display="http://www.vernimmen.net/html/glossaire/definition_tresorerie.html"/>
  </hyperlinks>
  <pageMargins left="0.23622047244094491" right="0.23622047244094491" top="0.74803149606299213" bottom="0.74803149606299213" header="0.31496062992125984" footer="0.31496062992125984"/>
  <pageSetup paperSize="9" scale="70" fitToHeight="2" orientation="landscape" r:id="rId2"/>
  <rowBreaks count="1" manualBreakCount="1">
    <brk id="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4" tint="0.39997558519241921"/>
    <pageSetUpPr fitToPage="1"/>
  </sheetPr>
  <dimension ref="A2:IW55"/>
  <sheetViews>
    <sheetView showGridLines="0" zoomScale="85" zoomScaleNormal="85" workbookViewId="0">
      <selection activeCell="M34" sqref="M34"/>
    </sheetView>
  </sheetViews>
  <sheetFormatPr baseColWidth="10" defaultColWidth="9.140625" defaultRowHeight="12.75" outlineLevelRow="1"/>
  <cols>
    <col min="1" max="1" width="17" style="105" customWidth="1"/>
    <col min="2" max="2" width="38.7109375" style="105" customWidth="1"/>
    <col min="3" max="4" width="9.28515625" style="105" customWidth="1"/>
    <col min="5" max="5" width="4.7109375" style="105" customWidth="1"/>
    <col min="6" max="6" width="41.7109375" style="105" customWidth="1"/>
    <col min="7" max="7" width="47.7109375" style="105" customWidth="1"/>
    <col min="8" max="8" width="12.140625" style="105" customWidth="1"/>
    <col min="9" max="19" width="11.42578125" style="105" customWidth="1"/>
    <col min="20" max="20" width="11.42578125" style="105" hidden="1" customWidth="1"/>
    <col min="21" max="257" width="11.42578125" style="105" customWidth="1"/>
    <col min="258" max="1025" width="11.42578125" customWidth="1"/>
  </cols>
  <sheetData>
    <row r="2" spans="1:20">
      <c r="B2" s="106" t="s">
        <v>247</v>
      </c>
    </row>
    <row r="3" spans="1:20">
      <c r="B3" s="55"/>
    </row>
    <row r="4" spans="1:20" ht="15.75" customHeight="1"/>
    <row r="5" spans="1:20" s="107" customFormat="1" ht="27.75" customHeight="1">
      <c r="A5" s="105"/>
      <c r="B5" s="430" t="str">
        <f>"Bilan  "&amp;annee-1&amp;" - "&amp;nom</f>
        <v xml:space="preserve">Bilan  2022 - </v>
      </c>
      <c r="C5" s="430"/>
      <c r="D5" s="430"/>
      <c r="E5" s="430"/>
      <c r="F5" s="430"/>
      <c r="G5" s="430"/>
    </row>
    <row r="7" spans="1:20">
      <c r="C7" s="108"/>
      <c r="D7" s="108"/>
      <c r="E7" s="108"/>
      <c r="G7" s="109"/>
    </row>
    <row r="8" spans="1:20" ht="18">
      <c r="B8" s="110" t="s">
        <v>137</v>
      </c>
      <c r="C8" s="108"/>
      <c r="D8" s="108"/>
      <c r="E8" s="108"/>
      <c r="G8" s="108"/>
    </row>
    <row r="10" spans="1:20" s="117" customFormat="1" ht="38.25" customHeight="1">
      <c r="A10" s="111"/>
      <c r="B10" s="112" t="s">
        <v>138</v>
      </c>
      <c r="C10" s="113">
        <f>annee-2</f>
        <v>2021</v>
      </c>
      <c r="D10" s="113">
        <f>annee-1</f>
        <v>2022</v>
      </c>
      <c r="E10" s="114"/>
      <c r="F10" s="115" t="str">
        <f>"Remarques "&amp;annee-1</f>
        <v>Remarques 2022</v>
      </c>
      <c r="G10" s="116" t="s">
        <v>139</v>
      </c>
    </row>
    <row r="11" spans="1:20" s="124" customFormat="1" ht="15" customHeight="1">
      <c r="A11" s="431" t="s">
        <v>140</v>
      </c>
      <c r="B11" s="118" t="s">
        <v>141</v>
      </c>
      <c r="C11" s="119">
        <f>+C12+C19+C20+C21</f>
        <v>0</v>
      </c>
      <c r="D11" s="120">
        <f>+D12+D19+D20+D21</f>
        <v>0</v>
      </c>
      <c r="E11" s="121" t="str">
        <f>IF(T11&gt;0,"ä",IF(T11&lt;0,"æ","à"))</f>
        <v>à</v>
      </c>
      <c r="F11" s="122"/>
      <c r="G11" s="123"/>
      <c r="T11" s="125">
        <f t="shared" ref="T11:T17" si="0">+D11-C11</f>
        <v>0</v>
      </c>
    </row>
    <row r="12" spans="1:20" s="67" customFormat="1" ht="40.5" customHeight="1">
      <c r="A12" s="431"/>
      <c r="B12" s="126" t="s">
        <v>142</v>
      </c>
      <c r="C12" s="364">
        <f>+Bilan!G11</f>
        <v>0</v>
      </c>
      <c r="D12" s="365">
        <f>+Bilan!H11</f>
        <v>0</v>
      </c>
      <c r="E12" s="363" t="str">
        <f>IF(T12&gt;0,"ä",IF(T12&lt;0,"æ","à"))</f>
        <v>à</v>
      </c>
      <c r="F12" s="127" t="str">
        <f>IF(T12&gt;0,"Les fonds propres s'améliorent : vérifier si c'est lié à l'amélioration du résultat","Les fonds propres se dégradent : vérifier si c'est lié à la dégradation du résultat.")</f>
        <v>Les fonds propres se dégradent : vérifier si c'est lié à la dégradation du résultat.</v>
      </c>
      <c r="G12" s="128" t="s">
        <v>143</v>
      </c>
      <c r="T12" s="125">
        <f t="shared" si="0"/>
        <v>0</v>
      </c>
    </row>
    <row r="13" spans="1:20" s="132" customFormat="1" ht="15" hidden="1" customHeight="1" outlineLevel="1">
      <c r="A13" s="431"/>
      <c r="B13" s="129" t="s">
        <v>144</v>
      </c>
      <c r="C13" s="286">
        <f>+Bilan!G12</f>
        <v>0</v>
      </c>
      <c r="D13" s="287">
        <f>+Bilan!H12</f>
        <v>0</v>
      </c>
      <c r="E13" s="288"/>
      <c r="F13" s="130"/>
      <c r="G13" s="131"/>
      <c r="T13" s="125">
        <f t="shared" si="0"/>
        <v>0</v>
      </c>
    </row>
    <row r="14" spans="1:20" s="132" customFormat="1" ht="15" hidden="1" customHeight="1" outlineLevel="1">
      <c r="A14" s="431"/>
      <c r="B14" s="27" t="s">
        <v>145</v>
      </c>
      <c r="C14" s="289">
        <f>+Bilan!G13</f>
        <v>0</v>
      </c>
      <c r="D14" s="290">
        <f>+Bilan!H13</f>
        <v>0</v>
      </c>
      <c r="E14" s="291"/>
      <c r="F14" s="130"/>
      <c r="G14" s="131"/>
      <c r="T14" s="125">
        <f t="shared" si="0"/>
        <v>0</v>
      </c>
    </row>
    <row r="15" spans="1:20" s="132" customFormat="1" ht="15" hidden="1" customHeight="1" outlineLevel="1">
      <c r="A15" s="431"/>
      <c r="B15" s="27" t="s">
        <v>146</v>
      </c>
      <c r="C15" s="289">
        <f>+Bilan!G14</f>
        <v>0</v>
      </c>
      <c r="D15" s="290">
        <f>+Bilan!H14</f>
        <v>0</v>
      </c>
      <c r="E15" s="291"/>
      <c r="F15" s="130"/>
      <c r="G15" s="131"/>
      <c r="T15" s="125">
        <f t="shared" si="0"/>
        <v>0</v>
      </c>
    </row>
    <row r="16" spans="1:20" s="132" customFormat="1" ht="15" hidden="1" customHeight="1" outlineLevel="1">
      <c r="A16" s="431"/>
      <c r="B16" s="27" t="s">
        <v>147</v>
      </c>
      <c r="C16" s="289">
        <f>+Bilan!G15</f>
        <v>0</v>
      </c>
      <c r="D16" s="290">
        <f>+Bilan!H15</f>
        <v>0</v>
      </c>
      <c r="E16" s="291"/>
      <c r="F16" s="130"/>
      <c r="G16" s="131"/>
      <c r="T16" s="125">
        <f t="shared" si="0"/>
        <v>0</v>
      </c>
    </row>
    <row r="17" spans="1:20" s="132" customFormat="1" ht="15" hidden="1" customHeight="1" outlineLevel="1">
      <c r="A17" s="431"/>
      <c r="B17" s="27" t="s">
        <v>148</v>
      </c>
      <c r="C17" s="289">
        <f>+Bilan!G16</f>
        <v>0</v>
      </c>
      <c r="D17" s="290">
        <f>+Bilan!H16</f>
        <v>0</v>
      </c>
      <c r="E17" s="291"/>
      <c r="F17" s="130"/>
      <c r="G17" s="131"/>
      <c r="T17" s="125">
        <f t="shared" si="0"/>
        <v>0</v>
      </c>
    </row>
    <row r="18" spans="1:20" s="132" customFormat="1" ht="15" hidden="1" customHeight="1" outlineLevel="1">
      <c r="A18" s="431"/>
      <c r="B18" s="45" t="s">
        <v>149</v>
      </c>
      <c r="C18" s="292">
        <f>+Bilan!G17</f>
        <v>0</v>
      </c>
      <c r="D18" s="293">
        <f>+Bilan!H17</f>
        <v>0</v>
      </c>
      <c r="E18" s="294"/>
      <c r="F18" s="130"/>
      <c r="G18" s="131"/>
      <c r="T18" s="125"/>
    </row>
    <row r="19" spans="1:20" s="132" customFormat="1" ht="15" customHeight="1" collapsed="1">
      <c r="A19" s="431"/>
      <c r="B19" s="133" t="s">
        <v>150</v>
      </c>
      <c r="C19" s="289">
        <f>+Bilan!G21</f>
        <v>0</v>
      </c>
      <c r="D19" s="287">
        <f>+Bilan!H21</f>
        <v>0</v>
      </c>
      <c r="E19" s="291"/>
      <c r="F19" s="130"/>
      <c r="G19" s="131"/>
      <c r="T19" s="125">
        <f t="shared" ref="T19:T24" si="1">+D19-C19</f>
        <v>0</v>
      </c>
    </row>
    <row r="20" spans="1:20" s="132" customFormat="1" ht="15" customHeight="1">
      <c r="A20" s="431"/>
      <c r="B20" s="133" t="s">
        <v>151</v>
      </c>
      <c r="C20" s="289">
        <f>+Bilan!G20</f>
        <v>0</v>
      </c>
      <c r="D20" s="290">
        <f>+Bilan!H20</f>
        <v>0</v>
      </c>
      <c r="E20" s="291"/>
      <c r="F20" s="130"/>
      <c r="G20" s="131"/>
      <c r="T20" s="125">
        <f t="shared" si="1"/>
        <v>0</v>
      </c>
    </row>
    <row r="21" spans="1:20" s="132" customFormat="1" ht="15" customHeight="1">
      <c r="A21" s="431"/>
      <c r="B21" s="134" t="s">
        <v>152</v>
      </c>
      <c r="C21" s="292">
        <f>+Bilan!G24</f>
        <v>0</v>
      </c>
      <c r="D21" s="293">
        <f>+Bilan!H24</f>
        <v>0</v>
      </c>
      <c r="E21" s="294"/>
      <c r="F21" s="130"/>
      <c r="G21" s="135"/>
      <c r="T21" s="125">
        <f t="shared" si="1"/>
        <v>0</v>
      </c>
    </row>
    <row r="22" spans="1:20" s="124" customFormat="1" ht="15" customHeight="1">
      <c r="A22" s="431"/>
      <c r="B22" s="136" t="s">
        <v>153</v>
      </c>
      <c r="C22" s="295">
        <f>+C23+C24+C25</f>
        <v>0</v>
      </c>
      <c r="D22" s="296">
        <f>+D23+D24+D25</f>
        <v>0</v>
      </c>
      <c r="E22" s="121" t="str">
        <f>IF(T22&gt;0,"ä",IF(T22&lt;0,"æ","à"))</f>
        <v>à</v>
      </c>
      <c r="F22" s="122"/>
      <c r="G22" s="137"/>
      <c r="T22" s="125">
        <f t="shared" si="1"/>
        <v>0</v>
      </c>
    </row>
    <row r="23" spans="1:20" s="132" customFormat="1" ht="15" customHeight="1">
      <c r="A23" s="431"/>
      <c r="B23" s="133" t="s">
        <v>154</v>
      </c>
      <c r="C23" s="289">
        <f>+Bilan!C11</f>
        <v>0</v>
      </c>
      <c r="D23" s="287">
        <f>+Bilan!D11</f>
        <v>0</v>
      </c>
      <c r="E23" s="291"/>
      <c r="F23" s="130"/>
      <c r="G23" s="131"/>
      <c r="T23" s="125">
        <f t="shared" si="1"/>
        <v>0</v>
      </c>
    </row>
    <row r="24" spans="1:20" s="132" customFormat="1" ht="15" customHeight="1">
      <c r="A24" s="431"/>
      <c r="B24" s="133" t="s">
        <v>155</v>
      </c>
      <c r="C24" s="289">
        <f>+Bilan!C16</f>
        <v>0</v>
      </c>
      <c r="D24" s="290">
        <f>+Bilan!D16</f>
        <v>0</v>
      </c>
      <c r="E24" s="291"/>
      <c r="F24" s="130"/>
      <c r="G24" s="131"/>
      <c r="T24" s="125">
        <f t="shared" si="1"/>
        <v>0</v>
      </c>
    </row>
    <row r="25" spans="1:20" s="132" customFormat="1" ht="15" customHeight="1">
      <c r="A25" s="431"/>
      <c r="B25" s="133" t="s">
        <v>156</v>
      </c>
      <c r="C25" s="292">
        <f>+Bilan!C21</f>
        <v>0</v>
      </c>
      <c r="D25" s="293">
        <f>+Bilan!D21</f>
        <v>0</v>
      </c>
      <c r="E25" s="294"/>
      <c r="F25" s="130"/>
      <c r="G25" s="135"/>
      <c r="T25" s="125"/>
    </row>
    <row r="26" spans="1:20" s="67" customFormat="1" ht="48" customHeight="1">
      <c r="A26" s="431"/>
      <c r="B26" s="126" t="s">
        <v>157</v>
      </c>
      <c r="C26" s="366">
        <f>+C11-C22</f>
        <v>0</v>
      </c>
      <c r="D26" s="365">
        <f>D11-D22</f>
        <v>0</v>
      </c>
      <c r="E26" s="363" t="str">
        <f>IF(T26&gt;0,"ä",IF(T26&lt;0,"æ","à"))</f>
        <v>à</v>
      </c>
      <c r="F26" s="127" t="str">
        <f>IF(T26&gt;0,"Le fonds de roulement s'améliore : vérifer si c'est lié à l'amélioration des fonds propres","Le fonds de roulement se dégrade : vérifier si c'est lié à la dégradation des fonds propres.")</f>
        <v>Le fonds de roulement se dégrade : vérifier si c'est lié à la dégradation des fonds propres.</v>
      </c>
      <c r="G26" s="128" t="s">
        <v>158</v>
      </c>
      <c r="T26" s="125">
        <f>+D26-C26</f>
        <v>0</v>
      </c>
    </row>
    <row r="27" spans="1:20">
      <c r="A27" s="138"/>
      <c r="C27" s="108"/>
      <c r="D27" s="108"/>
      <c r="E27" s="108"/>
    </row>
    <row r="28" spans="1:20" s="124" customFormat="1" ht="15" customHeight="1" outlineLevel="1">
      <c r="A28" s="431" t="s">
        <v>159</v>
      </c>
      <c r="B28" s="136" t="s">
        <v>160</v>
      </c>
      <c r="C28" s="295">
        <f>SUM(C29:C30)</f>
        <v>0</v>
      </c>
      <c r="D28" s="296">
        <f>SUM(D29:D30)</f>
        <v>0</v>
      </c>
      <c r="E28" s="297" t="str">
        <f>IF(T28&gt;0,"ä",IF(T28&lt;0,"æ","à"))</f>
        <v>à</v>
      </c>
      <c r="F28" s="139"/>
      <c r="G28" s="140"/>
      <c r="T28" s="125">
        <f t="shared" ref="T28:T33" si="2">+D28-C28</f>
        <v>0</v>
      </c>
    </row>
    <row r="29" spans="1:20" s="132" customFormat="1" ht="18" customHeight="1" outlineLevel="1">
      <c r="A29" s="431"/>
      <c r="B29" s="141" t="s">
        <v>161</v>
      </c>
      <c r="C29" s="286">
        <f>+Bilan!C26+Bilan!C27+Bilan!C28</f>
        <v>0</v>
      </c>
      <c r="D29" s="287">
        <f>+Bilan!D26+Bilan!D27+Bilan!D28</f>
        <v>0</v>
      </c>
      <c r="E29" s="288"/>
      <c r="F29" s="142"/>
      <c r="G29" s="143"/>
      <c r="T29" s="125">
        <f t="shared" si="2"/>
        <v>0</v>
      </c>
    </row>
    <row r="30" spans="1:20" s="132" customFormat="1" ht="15" customHeight="1" outlineLevel="1">
      <c r="A30" s="431"/>
      <c r="B30" s="144" t="s">
        <v>162</v>
      </c>
      <c r="C30" s="292">
        <f>+Bilan!C31</f>
        <v>0</v>
      </c>
      <c r="D30" s="293">
        <f>+Bilan!D31</f>
        <v>0</v>
      </c>
      <c r="E30" s="294"/>
      <c r="F30" s="142"/>
      <c r="G30" s="143"/>
      <c r="T30" s="125">
        <f t="shared" si="2"/>
        <v>0</v>
      </c>
    </row>
    <row r="31" spans="1:20" s="124" customFormat="1" ht="15" customHeight="1" outlineLevel="1">
      <c r="A31" s="431"/>
      <c r="B31" s="136" t="s">
        <v>163</v>
      </c>
      <c r="C31" s="295">
        <f>SUM(C32:C33)</f>
        <v>0</v>
      </c>
      <c r="D31" s="296">
        <f>SUM(D32:D33)</f>
        <v>0</v>
      </c>
      <c r="E31" s="297" t="str">
        <f>IF(T31&gt;0,"ä",IF(T31&lt;0,"æ","à"))</f>
        <v>à</v>
      </c>
      <c r="F31" s="145"/>
      <c r="G31" s="146"/>
      <c r="T31" s="125">
        <f t="shared" si="2"/>
        <v>0</v>
      </c>
    </row>
    <row r="32" spans="1:20" s="132" customFormat="1" ht="15" customHeight="1" outlineLevel="1">
      <c r="A32" s="431"/>
      <c r="B32" s="147" t="s">
        <v>164</v>
      </c>
      <c r="C32" s="286">
        <f>+Bilan!G26+Bilan!G27+Bilan!G28+Bilan!G29</f>
        <v>0</v>
      </c>
      <c r="D32" s="287">
        <f>+Bilan!H26+Bilan!H27+Bilan!H28+Bilan!H29</f>
        <v>0</v>
      </c>
      <c r="E32" s="288"/>
      <c r="F32" s="142"/>
      <c r="G32" s="148"/>
      <c r="T32" s="125">
        <f t="shared" si="2"/>
        <v>0</v>
      </c>
    </row>
    <row r="33" spans="1:20" s="132" customFormat="1" ht="15" customHeight="1" outlineLevel="1">
      <c r="A33" s="431"/>
      <c r="B33" s="144" t="s">
        <v>165</v>
      </c>
      <c r="C33" s="292">
        <f>+Bilan!G31</f>
        <v>0</v>
      </c>
      <c r="D33" s="293">
        <f>+Bilan!H31</f>
        <v>0</v>
      </c>
      <c r="E33" s="294"/>
      <c r="F33" s="142"/>
      <c r="G33" s="148"/>
      <c r="T33" s="125">
        <f t="shared" si="2"/>
        <v>0</v>
      </c>
    </row>
    <row r="34" spans="1:20" s="67" customFormat="1" ht="42.75" customHeight="1">
      <c r="A34" s="431"/>
      <c r="B34" s="126" t="s">
        <v>166</v>
      </c>
      <c r="C34" s="364">
        <f>C28-C31</f>
        <v>0</v>
      </c>
      <c r="D34" s="365">
        <f>D28-D31</f>
        <v>0</v>
      </c>
      <c r="E34" s="363" t="str">
        <f>IF(T34&gt;0,"ä",IF(T34&lt;0,"æ","à"))</f>
        <v>à</v>
      </c>
      <c r="F34" s="127" t="str">
        <f>IF(T34&lt;0,"BFR Négatif : impact positif sur la trésorerie : délais encaissements clients + rapides que délais décaissement fournisseurs; ...","BFR positif : Aucun excédent de financement du cycle d'exploitation. Besoin de trésorerie")</f>
        <v>BFR positif : Aucun excédent de financement du cycle d'exploitation. Besoin de trésorerie</v>
      </c>
      <c r="G34" s="128" t="s">
        <v>356</v>
      </c>
      <c r="T34" s="125">
        <f>+D34</f>
        <v>0</v>
      </c>
    </row>
    <row r="35" spans="1:20">
      <c r="A35" s="138"/>
      <c r="C35" s="108"/>
      <c r="D35" s="108"/>
      <c r="E35" s="108"/>
    </row>
    <row r="36" spans="1:20" s="152" customFormat="1" ht="15" hidden="1" customHeight="1" outlineLevel="1">
      <c r="A36" s="432" t="s">
        <v>167</v>
      </c>
      <c r="B36" s="149" t="s">
        <v>168</v>
      </c>
      <c r="C36" s="298">
        <f>+Bilan!C29+Bilan!C30</f>
        <v>0</v>
      </c>
      <c r="D36" s="299">
        <f>+Bilan!D29+Bilan!D30</f>
        <v>0</v>
      </c>
      <c r="E36" s="300"/>
      <c r="F36" s="150"/>
      <c r="G36" s="151"/>
      <c r="T36" s="125">
        <f>+D36-C36</f>
        <v>0</v>
      </c>
    </row>
    <row r="37" spans="1:20" s="152" customFormat="1" ht="15" hidden="1" customHeight="1" outlineLevel="1">
      <c r="A37" s="432"/>
      <c r="B37" s="153" t="s">
        <v>169</v>
      </c>
      <c r="C37" s="301">
        <f>+Bilan!G32</f>
        <v>0</v>
      </c>
      <c r="D37" s="302">
        <f>+Bilan!H32</f>
        <v>0</v>
      </c>
      <c r="E37" s="303"/>
      <c r="F37" s="154"/>
      <c r="G37" s="155"/>
      <c r="T37" s="125">
        <f>+D37-C37</f>
        <v>0</v>
      </c>
    </row>
    <row r="38" spans="1:20" s="67" customFormat="1" ht="42.75" customHeight="1" collapsed="1">
      <c r="A38" s="432"/>
      <c r="B38" s="156" t="s">
        <v>170</v>
      </c>
      <c r="C38" s="364">
        <f>C26-C34</f>
        <v>0</v>
      </c>
      <c r="D38" s="365">
        <f>D26-D34</f>
        <v>0</v>
      </c>
      <c r="E38" s="363" t="str">
        <f>IF(T38&gt;0,"ä",IF(T38&lt;0,"æ","à"))</f>
        <v>à</v>
      </c>
      <c r="F38" s="127" t="str">
        <f>IF(D38&lt;0,"La trésorerie nette est négative ","La trésorerie nette est positive. Attention il s'agit de la trésorerie en fin d'exercice. A pu évoluer depuis. Analyser en nb de mois.")</f>
        <v>La trésorerie nette est positive. Attention il s'agit de la trésorerie en fin d'exercice. A pu évoluer depuis. Analyser en nb de mois.</v>
      </c>
      <c r="G38" s="128" t="s">
        <v>171</v>
      </c>
      <c r="T38" s="125">
        <f>+D38-C38</f>
        <v>0</v>
      </c>
    </row>
    <row r="39" spans="1:20" ht="24.75" customHeight="1">
      <c r="H39" s="157"/>
      <c r="I39" s="157"/>
      <c r="J39" s="157"/>
      <c r="K39" s="157"/>
      <c r="L39" s="157"/>
      <c r="M39" s="157"/>
      <c r="N39" s="157"/>
      <c r="O39" s="157"/>
    </row>
    <row r="40" spans="1:20" s="157" customFormat="1" ht="25.5">
      <c r="B40" s="110" t="s">
        <v>172</v>
      </c>
      <c r="C40" s="158"/>
      <c r="D40" s="158"/>
      <c r="E40" s="158"/>
      <c r="F40" s="159"/>
      <c r="G40" s="160"/>
      <c r="H40" s="159"/>
    </row>
    <row r="41" spans="1:20" s="157" customFormat="1" ht="12.75" customHeight="1">
      <c r="B41" s="110"/>
      <c r="C41" s="158"/>
      <c r="D41" s="158"/>
      <c r="E41" s="158"/>
      <c r="G41" s="158"/>
    </row>
    <row r="42" spans="1:20" s="167" customFormat="1" ht="35.25" customHeight="1">
      <c r="A42" s="161"/>
      <c r="B42" s="162" t="s">
        <v>173</v>
      </c>
      <c r="C42" s="113">
        <f>annee-2</f>
        <v>2021</v>
      </c>
      <c r="D42" s="113">
        <f>annee-1</f>
        <v>2022</v>
      </c>
      <c r="E42" s="163"/>
      <c r="F42" s="113" t="s">
        <v>174</v>
      </c>
      <c r="G42" s="116" t="s">
        <v>139</v>
      </c>
      <c r="H42" s="164"/>
      <c r="I42" s="165"/>
      <c r="J42" s="164"/>
      <c r="K42" s="164"/>
      <c r="L42" s="166"/>
      <c r="M42" s="166"/>
      <c r="N42" s="166"/>
      <c r="O42" s="166"/>
    </row>
    <row r="43" spans="1:20" s="111" customFormat="1" ht="38.25" customHeight="1">
      <c r="A43" s="433" t="s">
        <v>140</v>
      </c>
      <c r="B43" s="168" t="s">
        <v>175</v>
      </c>
      <c r="C43" s="344" t="str">
        <f>IF(Bilan!G11&lt;&gt;0,Bilan!G11/Bilan!G34,"")</f>
        <v/>
      </c>
      <c r="D43" s="345" t="str">
        <f>IF(Bilan!H11&lt;&gt;0,Bilan!H11/Bilan!H34,"")</f>
        <v/>
      </c>
      <c r="E43" s="355" t="str">
        <f>IF(D43="","",IF(D43&gt;=25%,"J",IF(D43&lt;20%,"L","K")))</f>
        <v/>
      </c>
      <c r="F43" s="169" t="str">
        <f>IF(D43="","Bilan non remplis",IF(D43&gt;=20%,"Financement par fonds propres satisfaisant","Niveau des fonds propres insuffisant"))</f>
        <v>Bilan non remplis</v>
      </c>
      <c r="G43" s="170" t="s">
        <v>365</v>
      </c>
      <c r="H43" s="171"/>
      <c r="I43" s="171"/>
      <c r="J43" s="171"/>
      <c r="K43" s="171"/>
      <c r="L43" s="171"/>
      <c r="M43" s="171"/>
      <c r="N43" s="171"/>
      <c r="O43" s="171"/>
      <c r="T43" s="172" t="e">
        <f>+D43-C43</f>
        <v>#VALUE!</v>
      </c>
    </row>
    <row r="44" spans="1:20" s="111" customFormat="1" ht="54" customHeight="1" outlineLevel="1">
      <c r="A44" s="433"/>
      <c r="B44" s="168" t="s">
        <v>176</v>
      </c>
      <c r="C44" s="343" t="str">
        <f>IF(Bilan!G11&lt;&gt;0,Bilan!G11/('Compte de résultat'!C42-'Compte de résultat'!C36-'Compte de résultat'!C34)*12,"")</f>
        <v/>
      </c>
      <c r="D44" s="343" t="str">
        <f>IF(Bilan!H11&lt;&gt;0,Bilan!H11/('Compte de résultat'!D42-'Compte de résultat'!D36-'Compte de résultat'!D34)*12,"")</f>
        <v/>
      </c>
      <c r="E44" s="355" t="str">
        <f>IF(D44="","",IF(D44&gt;=2.5,"J",IF(D44&lt;2.5,"L","K")))</f>
        <v/>
      </c>
      <c r="F44" s="169" t="str">
        <f>IF(D44="","Bilan non remplis",IF(D44&gt;=3,"Financement par fonds propres satisfaisant","Niveau des fonds propres insuffisant"))</f>
        <v>Bilan non remplis</v>
      </c>
      <c r="G44" s="170" t="s">
        <v>177</v>
      </c>
      <c r="H44" s="171"/>
      <c r="I44" s="171"/>
      <c r="J44" s="171"/>
      <c r="K44" s="171"/>
      <c r="L44" s="171"/>
      <c r="M44" s="171"/>
      <c r="N44" s="171"/>
      <c r="O44" s="171"/>
      <c r="T44" s="173" t="e">
        <f>+$D$44-$C$44</f>
        <v>#VALUE!</v>
      </c>
    </row>
    <row r="45" spans="1:20" s="111" customFormat="1" ht="51.75" hidden="1" customHeight="1" outlineLevel="1">
      <c r="A45" s="433"/>
      <c r="B45" s="168" t="s">
        <v>178</v>
      </c>
      <c r="C45" s="284" t="e">
        <f>+Bilan!G24/Bilan!G25</f>
        <v>#DIV/0!</v>
      </c>
      <c r="D45" s="284" t="e">
        <f>+Bilan!H24/Bilan!H25</f>
        <v>#DIV/0!</v>
      </c>
      <c r="E45" s="355" t="e">
        <f>IF(D45&gt;=50%,"J",IF(D42&lt;50%,"L","K"))</f>
        <v>#DIV/0!</v>
      </c>
      <c r="F45" s="169" t="e">
        <f>IF(OR(D45="",D45="N.A."),"N.A",IF(D45&lt;=50%,"Structure financière saine","Structure financière déséquilibrée : endettement trop important"))</f>
        <v>#DIV/0!</v>
      </c>
      <c r="G45" s="170" t="s">
        <v>179</v>
      </c>
      <c r="T45" s="172" t="e">
        <f>+D45-C45</f>
        <v>#DIV/0!</v>
      </c>
    </row>
    <row r="46" spans="1:20" s="111" customFormat="1" ht="57" customHeight="1" collapsed="1">
      <c r="A46" s="174" t="s">
        <v>159</v>
      </c>
      <c r="B46" s="175" t="s">
        <v>180</v>
      </c>
      <c r="C46" s="361" t="str">
        <f>IF(Bilan!C33&gt;0,(Bilan!C33-Bilan!C26)/Bilan!G33,"")</f>
        <v/>
      </c>
      <c r="D46" s="361" t="str">
        <f>IF(Bilan!D33&gt;0,(Bilan!D33-Bilan!D26)/Bilan!H33,"")</f>
        <v/>
      </c>
      <c r="E46" s="362" t="str">
        <f>IF(D46="","",IF(D46&gt;=100%,"J",IF(D46&lt;100%,"L","K")))</f>
        <v/>
      </c>
      <c r="F46" s="169" t="str">
        <f>IF(D46="","Bilan non remplis",IF(D46&gt;100%,"L'organisme a la capacité à faire face aux dettes à court terme","Risque de cessation de paiement"))</f>
        <v>Bilan non remplis</v>
      </c>
      <c r="G46" s="170" t="s">
        <v>181</v>
      </c>
      <c r="T46" s="172" t="e">
        <f>+D46-C46</f>
        <v>#VALUE!</v>
      </c>
    </row>
    <row r="47" spans="1:20" s="111" customFormat="1" ht="62.25" customHeight="1">
      <c r="A47" s="174" t="s">
        <v>167</v>
      </c>
      <c r="B47" s="175" t="s">
        <v>182</v>
      </c>
      <c r="C47" s="285" t="str">
        <f>IF(('Compte de résultat'!C42-'Compte de résultat'!C34-'Compte de résultat'!C36)=0,"",(Bilan!C29+Bilan!C30)/('Compte de résultat'!C42-'Compte de résultat'!C34-'Compte de résultat'!C36)*12)</f>
        <v/>
      </c>
      <c r="D47" s="285" t="str">
        <f>IF(('Compte de résultat'!D42-'Compte de résultat'!D34-'Compte de résultat'!D36)=0,"",(Bilan!D29+Bilan!D30)/('Compte de résultat'!D42-'Compte de résultat'!D34-'Compte de résultat'!D36)*12)</f>
        <v/>
      </c>
      <c r="E47" s="355" t="str">
        <f>IF(D47="","",IF(D47&gt;=2.5,"J",IF(D47&lt;2.5,"L","K")))</f>
        <v/>
      </c>
      <c r="F47" s="176" t="str">
        <f>IF(OR(D47="",D47="N.A."),"N.A",IF(D47&gt;2.5,"La structure dipose d'une trésorerie suffisante pour payer ses charges d'exploitation","La structure ne dipose pas d'une trésorerie suffisante pour payer ses charges d'exploitation"))</f>
        <v>N.A</v>
      </c>
      <c r="G47" s="128" t="s">
        <v>183</v>
      </c>
      <c r="T47" s="177" t="e">
        <f>+D47-C47</f>
        <v>#VALUE!</v>
      </c>
    </row>
    <row r="50" spans="2:7" ht="18">
      <c r="B50" s="110" t="s">
        <v>184</v>
      </c>
    </row>
    <row r="54" spans="2:7" ht="15.75">
      <c r="F54" s="350" t="s">
        <v>174</v>
      </c>
      <c r="G54" s="350" t="s">
        <v>139</v>
      </c>
    </row>
    <row r="55" spans="2:7" ht="51">
      <c r="F55" s="356" t="s">
        <v>360</v>
      </c>
      <c r="G55" s="357" t="s">
        <v>361</v>
      </c>
    </row>
  </sheetData>
  <sheetProtection password="CF11" sheet="1" objects="1" scenarios="1"/>
  <mergeCells count="5">
    <mergeCell ref="B5:G5"/>
    <mergeCell ref="A11:A26"/>
    <mergeCell ref="A28:A34"/>
    <mergeCell ref="A36:A38"/>
    <mergeCell ref="A43:A45"/>
  </mergeCells>
  <conditionalFormatting sqref="E43:E47">
    <cfRule type="cellIs" dxfId="24" priority="18" operator="equal">
      <formula>"L"</formula>
    </cfRule>
    <cfRule type="cellIs" dxfId="23" priority="19" operator="equal">
      <formula>"J"</formula>
    </cfRule>
  </conditionalFormatting>
  <conditionalFormatting sqref="C43:D43">
    <cfRule type="cellIs" dxfId="22" priority="20" operator="greaterThanOrEqual">
      <formula>0.5</formula>
    </cfRule>
    <cfRule type="cellIs" dxfId="21" priority="21" operator="between">
      <formula>0.2</formula>
      <formula>0.5</formula>
    </cfRule>
    <cfRule type="cellIs" dxfId="20" priority="22" operator="lessThan">
      <formula>0.2</formula>
    </cfRule>
  </conditionalFormatting>
  <conditionalFormatting sqref="C47:D47">
    <cfRule type="cellIs" dxfId="19" priority="26" operator="lessThan">
      <formula>2</formula>
    </cfRule>
  </conditionalFormatting>
  <conditionalFormatting sqref="D26">
    <cfRule type="cellIs" dxfId="18" priority="33" operator="lessThan">
      <formula>-1000</formula>
    </cfRule>
  </conditionalFormatting>
  <conditionalFormatting sqref="C12:D12">
    <cfRule type="cellIs" dxfId="17" priority="34" operator="lessThanOrEqual">
      <formula>0</formula>
    </cfRule>
    <cfRule type="cellIs" dxfId="16" priority="35" operator="lessThan">
      <formula>-1000</formula>
    </cfRule>
  </conditionalFormatting>
  <conditionalFormatting sqref="C38:D38">
    <cfRule type="cellIs" dxfId="15" priority="36" operator="lessThan">
      <formula>-1000</formula>
    </cfRule>
  </conditionalFormatting>
  <conditionalFormatting sqref="C44">
    <cfRule type="cellIs" dxfId="14" priority="13" operator="lessThanOrEqual">
      <formula>3</formula>
    </cfRule>
    <cfRule type="cellIs" dxfId="13" priority="16" operator="greaterThanOrEqual">
      <formula>3</formula>
    </cfRule>
  </conditionalFormatting>
  <conditionalFormatting sqref="D44">
    <cfRule type="cellIs" dxfId="12" priority="11" operator="lessThanOrEqual">
      <formula>3</formula>
    </cfRule>
    <cfRule type="cellIs" dxfId="11" priority="12" operator="greaterThanOrEqual">
      <formula>3</formula>
    </cfRule>
  </conditionalFormatting>
  <conditionalFormatting sqref="C47">
    <cfRule type="cellIs" dxfId="10" priority="7" operator="lessThan">
      <formula>2</formula>
    </cfRule>
  </conditionalFormatting>
  <conditionalFormatting sqref="D47">
    <cfRule type="cellIs" dxfId="9" priority="6" operator="lessThan">
      <formula>2</formula>
    </cfRule>
  </conditionalFormatting>
  <conditionalFormatting sqref="D46">
    <cfRule type="cellIs" dxfId="8" priority="3" operator="lessThan">
      <formula>1</formula>
    </cfRule>
    <cfRule type="cellIs" dxfId="7" priority="4" operator="greaterThanOrEqual">
      <formula>1</formula>
    </cfRule>
  </conditionalFormatting>
  <pageMargins left="0.23622047244094491" right="0.23622047244094491" top="0.74803149606299213" bottom="0.74803149606299213" header="0.51181102362204722" footer="0.31496062992125984"/>
  <pageSetup paperSize="9" scale="60" firstPageNumber="0" orientation="portrait" horizontalDpi="300" verticalDpi="300" r:id="rId1"/>
  <headerFooter>
    <oddFooter>&amp;LContrôle de Gestion&amp;C&amp;D&amp;RPage 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4" tint="0.39997558519241921"/>
  </sheetPr>
  <dimension ref="A2:IW122"/>
  <sheetViews>
    <sheetView showGridLines="0" zoomScale="85" zoomScaleNormal="85" workbookViewId="0">
      <selection activeCell="B22" sqref="B22"/>
    </sheetView>
  </sheetViews>
  <sheetFormatPr baseColWidth="10" defaultColWidth="9.140625" defaultRowHeight="14.25" outlineLevelRow="1"/>
  <cols>
    <col min="1" max="1" width="40.85546875" style="178" customWidth="1"/>
    <col min="2" max="2" width="11.140625" style="178" customWidth="1"/>
    <col min="3" max="3" width="9.7109375" style="178" customWidth="1"/>
    <col min="4" max="4" width="10.5703125" style="178" customWidth="1"/>
    <col min="5" max="5" width="9.140625" style="178" customWidth="1"/>
    <col min="6" max="6" width="13.140625" style="178" customWidth="1"/>
    <col min="7" max="7" width="10" style="178" customWidth="1"/>
    <col min="8" max="8" width="11.85546875" style="178" customWidth="1"/>
    <col min="9" max="9" width="9" style="178" customWidth="1"/>
    <col min="10" max="10" width="3.5703125" style="178" customWidth="1"/>
    <col min="11" max="11" width="8.85546875" style="178" customWidth="1"/>
    <col min="12" max="12" width="20.85546875" style="178" customWidth="1"/>
    <col min="13" max="19" width="11.42578125" style="178" customWidth="1"/>
    <col min="20" max="20" width="4.7109375" style="178" customWidth="1"/>
    <col min="21" max="22" width="13.5703125" style="178" customWidth="1"/>
    <col min="23" max="23" width="15.140625" style="178" customWidth="1"/>
    <col min="24" max="24" width="10" style="178" customWidth="1"/>
    <col min="25" max="257" width="11.42578125" style="178" customWidth="1"/>
    <col min="258" max="1025" width="11.42578125" customWidth="1"/>
  </cols>
  <sheetData>
    <row r="2" spans="1:13">
      <c r="A2" s="9" t="s">
        <v>246</v>
      </c>
    </row>
    <row r="3" spans="1:13">
      <c r="A3" s="179"/>
    </row>
    <row r="4" spans="1:13" ht="15.75">
      <c r="A4" s="180"/>
    </row>
    <row r="5" spans="1:13" s="107" customFormat="1" ht="27.75" customHeight="1">
      <c r="A5" s="430" t="str">
        <f>"Compte de Résultat  "&amp;annee-1&amp;" / "&amp;annee&amp;" - "&amp;nom</f>
        <v xml:space="preserve">Compte de Résultat  2022 / 2023 - </v>
      </c>
      <c r="B5" s="430"/>
      <c r="C5" s="430"/>
      <c r="D5" s="430"/>
      <c r="E5" s="430"/>
      <c r="F5" s="430"/>
      <c r="G5" s="430"/>
      <c r="H5" s="430"/>
      <c r="I5" s="430"/>
      <c r="J5" s="430"/>
      <c r="K5" s="430"/>
      <c r="L5" s="181"/>
      <c r="M5" s="182"/>
    </row>
    <row r="6" spans="1:13" ht="14.25" customHeight="1">
      <c r="A6" s="183"/>
      <c r="B6" s="183"/>
      <c r="C6" s="184"/>
      <c r="D6" s="183"/>
      <c r="E6" s="184"/>
      <c r="F6" s="183"/>
      <c r="G6" s="184"/>
      <c r="H6" s="183"/>
      <c r="I6" s="185"/>
      <c r="J6" s="185"/>
      <c r="K6" s="186"/>
      <c r="L6" s="186"/>
      <c r="M6" s="187"/>
    </row>
    <row r="7" spans="1:13" ht="18.75" customHeight="1">
      <c r="A7" s="110" t="s">
        <v>185</v>
      </c>
      <c r="B7" s="188"/>
      <c r="C7" s="189"/>
      <c r="D7" s="188"/>
      <c r="E7" s="189"/>
      <c r="F7" s="188"/>
      <c r="G7" s="189"/>
      <c r="H7" s="188"/>
      <c r="I7" s="185"/>
      <c r="J7" s="190"/>
      <c r="K7" s="187"/>
      <c r="L7" s="187"/>
      <c r="M7" s="187"/>
    </row>
    <row r="8" spans="1:13" ht="24.75" customHeight="1">
      <c r="A8" s="110"/>
      <c r="B8" s="188"/>
      <c r="C8" s="189"/>
      <c r="D8" s="188"/>
      <c r="E8" s="189"/>
      <c r="F8" s="188"/>
      <c r="G8" s="189"/>
      <c r="H8" s="188"/>
      <c r="I8" s="191"/>
      <c r="J8" s="190"/>
      <c r="K8" s="191"/>
      <c r="L8" s="187"/>
      <c r="M8" s="187"/>
    </row>
    <row r="9" spans="1:13" s="193" customFormat="1" ht="25.5" customHeight="1">
      <c r="A9" s="434"/>
      <c r="B9" s="435">
        <f>annee-2</f>
        <v>2021</v>
      </c>
      <c r="C9" s="435"/>
      <c r="D9" s="435">
        <f>annee-1</f>
        <v>2022</v>
      </c>
      <c r="E9" s="435"/>
      <c r="F9" s="436">
        <f>annee</f>
        <v>2023</v>
      </c>
      <c r="G9" s="436"/>
      <c r="H9" s="436" t="str">
        <f>"Var. "&amp;annee&amp;" / "&amp;annee-1</f>
        <v>Var. 2023 / 2022</v>
      </c>
      <c r="I9" s="436"/>
      <c r="J9" s="192"/>
      <c r="K9" s="191"/>
      <c r="L9" s="96"/>
      <c r="M9" s="96"/>
    </row>
    <row r="10" spans="1:13" s="193" customFormat="1" ht="43.5" customHeight="1">
      <c r="A10" s="434"/>
      <c r="B10" s="194" t="str">
        <f>+'Compte de résultat'!C7</f>
        <v>Réalisé</v>
      </c>
      <c r="C10" s="195" t="s">
        <v>186</v>
      </c>
      <c r="D10" s="194" t="str">
        <f>+'Compte de résultat'!D7</f>
        <v>Réalisé</v>
      </c>
      <c r="E10" s="195" t="s">
        <v>186</v>
      </c>
      <c r="F10" s="194" t="str">
        <f>+'Compte de résultat'!E7</f>
        <v>Prévisionnel ou réalisé</v>
      </c>
      <c r="G10" s="196" t="s">
        <v>186</v>
      </c>
      <c r="H10" s="194" t="s">
        <v>187</v>
      </c>
      <c r="I10" s="196" t="s">
        <v>188</v>
      </c>
      <c r="J10" s="197"/>
      <c r="K10" s="191"/>
      <c r="L10" s="96"/>
    </row>
    <row r="11" spans="1:13" ht="17.25" customHeight="1">
      <c r="A11" s="198" t="s">
        <v>189</v>
      </c>
      <c r="B11" s="199">
        <f>+'Compte de résultat'!G8</f>
        <v>0</v>
      </c>
      <c r="C11" s="200" t="str">
        <f t="shared" ref="C11:C35" si="0">IF(B11&lt;&gt;0,B11/B$18,"")</f>
        <v/>
      </c>
      <c r="D11" s="199">
        <f>+'Compte de résultat'!H8</f>
        <v>0</v>
      </c>
      <c r="E11" s="200" t="str">
        <f t="shared" ref="E11:E35" si="1">IF(D11&lt;&gt;0,D11/(D$18+D$27+D$31),"")</f>
        <v/>
      </c>
      <c r="F11" s="199">
        <f>+'Compte de résultat'!I8</f>
        <v>0</v>
      </c>
      <c r="G11" s="200" t="str">
        <f t="shared" ref="G11:G35" si="2">IF(F11&lt;&gt;0,F11/(F$18+F$27+F$31),"")</f>
        <v/>
      </c>
      <c r="H11" s="199" t="str">
        <f t="shared" ref="H11:H35" si="3">IF(F$18&lt;&gt;0,F11-D11,"")</f>
        <v/>
      </c>
      <c r="I11" s="201" t="e">
        <f t="shared" ref="I11:I25" si="4">IF(H11&lt;&gt;0,H11/D11,"")</f>
        <v>#VALUE!</v>
      </c>
      <c r="J11" s="202" t="str">
        <f>IF(H11&gt;0,"ä",IF(H11&lt;0,"æ","à"))</f>
        <v>ä</v>
      </c>
      <c r="K11" s="203"/>
      <c r="L11" s="132"/>
    </row>
    <row r="12" spans="1:13" s="132" customFormat="1" ht="17.25" customHeight="1">
      <c r="A12" s="133" t="s">
        <v>190</v>
      </c>
      <c r="B12" s="204">
        <f>+'Compte de résultat'!G12+'Compte de résultat'!G13</f>
        <v>0</v>
      </c>
      <c r="C12" s="205" t="str">
        <f t="shared" si="0"/>
        <v/>
      </c>
      <c r="D12" s="204">
        <f>+'Compte de résultat'!H12+'Compte de résultat'!H13</f>
        <v>0</v>
      </c>
      <c r="E12" s="205" t="str">
        <f t="shared" si="1"/>
        <v/>
      </c>
      <c r="F12" s="204">
        <f>+'Compte de résultat'!I12+'Compte de résultat'!I13</f>
        <v>0</v>
      </c>
      <c r="G12" s="205" t="str">
        <f t="shared" si="2"/>
        <v/>
      </c>
      <c r="H12" s="204" t="str">
        <f t="shared" si="3"/>
        <v/>
      </c>
      <c r="I12" s="206" t="e">
        <f t="shared" si="4"/>
        <v>#VALUE!</v>
      </c>
      <c r="J12" s="207"/>
      <c r="K12" s="191"/>
    </row>
    <row r="13" spans="1:13" s="132" customFormat="1" ht="17.25" customHeight="1">
      <c r="A13" s="133" t="s">
        <v>191</v>
      </c>
      <c r="B13" s="204">
        <f>+'Compte de résultat'!G14</f>
        <v>0</v>
      </c>
      <c r="C13" s="205" t="str">
        <f t="shared" si="0"/>
        <v/>
      </c>
      <c r="D13" s="204">
        <f>+'Compte de résultat'!H14</f>
        <v>0</v>
      </c>
      <c r="E13" s="205" t="str">
        <f t="shared" si="1"/>
        <v/>
      </c>
      <c r="F13" s="204">
        <f>+'Compte de résultat'!I14</f>
        <v>0</v>
      </c>
      <c r="G13" s="205" t="str">
        <f t="shared" si="2"/>
        <v/>
      </c>
      <c r="H13" s="204" t="str">
        <f t="shared" si="3"/>
        <v/>
      </c>
      <c r="I13" s="206" t="e">
        <f t="shared" si="4"/>
        <v>#VALUE!</v>
      </c>
      <c r="J13" s="208" t="str">
        <f>IF(H13&gt;0,"ä",IF(H13&lt;0,"æ","à"))</f>
        <v>ä</v>
      </c>
      <c r="K13" s="203"/>
      <c r="L13" s="209"/>
    </row>
    <row r="14" spans="1:13" s="132" customFormat="1" ht="17.25" customHeight="1">
      <c r="A14" s="210" t="s">
        <v>192</v>
      </c>
      <c r="B14" s="204">
        <f>+'Compte de résultat'!G22</f>
        <v>0</v>
      </c>
      <c r="C14" s="205" t="str">
        <f t="shared" si="0"/>
        <v/>
      </c>
      <c r="D14" s="204">
        <f>+'Compte de résultat'!H22</f>
        <v>0</v>
      </c>
      <c r="E14" s="205" t="str">
        <f t="shared" si="1"/>
        <v/>
      </c>
      <c r="F14" s="204">
        <f>+'Compte de résultat'!I22</f>
        <v>0</v>
      </c>
      <c r="G14" s="205" t="str">
        <f t="shared" si="2"/>
        <v/>
      </c>
      <c r="H14" s="204" t="str">
        <f t="shared" si="3"/>
        <v/>
      </c>
      <c r="I14" s="206" t="e">
        <f t="shared" si="4"/>
        <v>#VALUE!</v>
      </c>
      <c r="J14" s="208" t="str">
        <f>IF(H14&gt;0,"ä",IF(H14&lt;0,"æ","à"))</f>
        <v>ä</v>
      </c>
      <c r="K14" s="191"/>
      <c r="L14" s="209"/>
    </row>
    <row r="15" spans="1:13" s="132" customFormat="1" ht="17.25" customHeight="1">
      <c r="A15" s="133" t="s">
        <v>193</v>
      </c>
      <c r="B15" s="204">
        <f>+'Compte de résultat'!G40</f>
        <v>0</v>
      </c>
      <c r="C15" s="205" t="str">
        <f t="shared" si="0"/>
        <v/>
      </c>
      <c r="D15" s="204">
        <f>+'Compte de résultat'!H40</f>
        <v>0</v>
      </c>
      <c r="E15" s="205" t="str">
        <f t="shared" si="1"/>
        <v/>
      </c>
      <c r="F15" s="204">
        <f>+'Compte de résultat'!I40</f>
        <v>0</v>
      </c>
      <c r="G15" s="205" t="str">
        <f t="shared" si="2"/>
        <v/>
      </c>
      <c r="H15" s="204" t="str">
        <f t="shared" si="3"/>
        <v/>
      </c>
      <c r="I15" s="206" t="e">
        <f t="shared" si="4"/>
        <v>#VALUE!</v>
      </c>
      <c r="J15" s="208"/>
      <c r="K15" s="191"/>
      <c r="L15" s="209"/>
    </row>
    <row r="16" spans="1:13" s="132" customFormat="1" ht="17.25" customHeight="1">
      <c r="A16" s="133" t="s">
        <v>194</v>
      </c>
      <c r="B16" s="204">
        <f>+'Compte de résultat'!G30</f>
        <v>0</v>
      </c>
      <c r="C16" s="205" t="str">
        <f t="shared" si="0"/>
        <v/>
      </c>
      <c r="D16" s="204">
        <f>+'Compte de résultat'!H30</f>
        <v>0</v>
      </c>
      <c r="E16" s="205" t="str">
        <f t="shared" si="1"/>
        <v/>
      </c>
      <c r="F16" s="204">
        <f>+'Compte de résultat'!I30</f>
        <v>0</v>
      </c>
      <c r="G16" s="205" t="str">
        <f t="shared" si="2"/>
        <v/>
      </c>
      <c r="H16" s="204" t="str">
        <f t="shared" si="3"/>
        <v/>
      </c>
      <c r="I16" s="206" t="e">
        <f t="shared" si="4"/>
        <v>#VALUE!</v>
      </c>
      <c r="J16" s="208"/>
      <c r="K16" s="191"/>
      <c r="L16" s="211"/>
    </row>
    <row r="17" spans="1:12" s="132" customFormat="1" ht="17.25" customHeight="1">
      <c r="A17" s="133" t="s">
        <v>195</v>
      </c>
      <c r="B17" s="204">
        <f>+'Compte de résultat'!G41</f>
        <v>0</v>
      </c>
      <c r="C17" s="205" t="str">
        <f t="shared" si="0"/>
        <v/>
      </c>
      <c r="D17" s="204">
        <f>+'Compte de résultat'!H41</f>
        <v>0</v>
      </c>
      <c r="E17" s="205" t="str">
        <f t="shared" si="1"/>
        <v/>
      </c>
      <c r="F17" s="204">
        <f>+'Compte de résultat'!I41</f>
        <v>0</v>
      </c>
      <c r="G17" s="205" t="str">
        <f t="shared" si="2"/>
        <v/>
      </c>
      <c r="H17" s="204" t="str">
        <f t="shared" si="3"/>
        <v/>
      </c>
      <c r="I17" s="206" t="e">
        <f t="shared" si="4"/>
        <v>#VALUE!</v>
      </c>
      <c r="J17" s="208"/>
      <c r="K17" s="191"/>
      <c r="L17" s="211"/>
    </row>
    <row r="18" spans="1:12" s="67" customFormat="1" ht="17.25" customHeight="1">
      <c r="A18" s="212" t="s">
        <v>196</v>
      </c>
      <c r="B18" s="213">
        <f>SUM(B11:B17)-B14</f>
        <v>0</v>
      </c>
      <c r="C18" s="214" t="str">
        <f t="shared" si="0"/>
        <v/>
      </c>
      <c r="D18" s="213">
        <f>SUM(D11:D17)-D14</f>
        <v>0</v>
      </c>
      <c r="E18" s="214" t="str">
        <f t="shared" si="1"/>
        <v/>
      </c>
      <c r="F18" s="213">
        <f>SUM(F11:F17)-F14</f>
        <v>0</v>
      </c>
      <c r="G18" s="214" t="str">
        <f t="shared" si="2"/>
        <v/>
      </c>
      <c r="H18" s="213" t="str">
        <f t="shared" si="3"/>
        <v/>
      </c>
      <c r="I18" s="215" t="e">
        <f t="shared" si="4"/>
        <v>#VALUE!</v>
      </c>
      <c r="J18" s="216" t="str">
        <f>IF(H18&gt;0,"ä",IF(H18&lt;0,"æ","à"))</f>
        <v>ä</v>
      </c>
      <c r="K18" s="164"/>
      <c r="L18" s="217"/>
    </row>
    <row r="19" spans="1:12" s="132" customFormat="1" ht="17.25" customHeight="1">
      <c r="A19" s="133" t="s">
        <v>197</v>
      </c>
      <c r="B19" s="204">
        <f>+'Compte de résultat'!C8</f>
        <v>0</v>
      </c>
      <c r="C19" s="205" t="str">
        <f t="shared" si="0"/>
        <v/>
      </c>
      <c r="D19" s="204">
        <f>+'Compte de résultat'!D8</f>
        <v>0</v>
      </c>
      <c r="E19" s="205" t="str">
        <f t="shared" si="1"/>
        <v/>
      </c>
      <c r="F19" s="204">
        <f>+'Compte de résultat'!E8</f>
        <v>0</v>
      </c>
      <c r="G19" s="205" t="str">
        <f t="shared" si="2"/>
        <v/>
      </c>
      <c r="H19" s="204" t="str">
        <f t="shared" si="3"/>
        <v/>
      </c>
      <c r="I19" s="206" t="e">
        <f t="shared" si="4"/>
        <v>#VALUE!</v>
      </c>
      <c r="J19" s="208"/>
      <c r="K19" s="191"/>
    </row>
    <row r="20" spans="1:12" s="132" customFormat="1" ht="17.25" customHeight="1">
      <c r="A20" s="133" t="s">
        <v>198</v>
      </c>
      <c r="B20" s="204">
        <f>+'Compte de résultat'!C14+'Compte de résultat'!C21</f>
        <v>0</v>
      </c>
      <c r="C20" s="205" t="str">
        <f t="shared" si="0"/>
        <v/>
      </c>
      <c r="D20" s="204">
        <f>+'Compte de résultat'!D14+'Compte de résultat'!D21</f>
        <v>0</v>
      </c>
      <c r="E20" s="205" t="str">
        <f t="shared" si="1"/>
        <v/>
      </c>
      <c r="F20" s="204">
        <f>+'Compte de résultat'!E14+'Compte de résultat'!E21</f>
        <v>0</v>
      </c>
      <c r="G20" s="205" t="str">
        <f t="shared" si="2"/>
        <v/>
      </c>
      <c r="H20" s="204" t="str">
        <f t="shared" si="3"/>
        <v/>
      </c>
      <c r="I20" s="206" t="e">
        <f t="shared" si="4"/>
        <v>#VALUE!</v>
      </c>
      <c r="J20" s="208" t="str">
        <f>IF(H20&gt;0,"ä",IF(H20&lt;0,"æ","à"))</f>
        <v>ä</v>
      </c>
      <c r="K20" s="191"/>
    </row>
    <row r="21" spans="1:12" s="132" customFormat="1" ht="17.25" customHeight="1">
      <c r="A21" s="133" t="s">
        <v>199</v>
      </c>
      <c r="B21" s="204">
        <f>+'Compte de résultat'!C28</f>
        <v>0</v>
      </c>
      <c r="C21" s="205" t="str">
        <f t="shared" si="0"/>
        <v/>
      </c>
      <c r="D21" s="204">
        <f>+'Compte de résultat'!D28</f>
        <v>0</v>
      </c>
      <c r="E21" s="205" t="str">
        <f t="shared" si="1"/>
        <v/>
      </c>
      <c r="F21" s="204">
        <f>+'Compte de résultat'!E28</f>
        <v>0</v>
      </c>
      <c r="G21" s="205" t="str">
        <f t="shared" si="2"/>
        <v/>
      </c>
      <c r="H21" s="204" t="str">
        <f t="shared" si="3"/>
        <v/>
      </c>
      <c r="I21" s="206" t="e">
        <f t="shared" si="4"/>
        <v>#VALUE!</v>
      </c>
      <c r="J21" s="208"/>
      <c r="K21" s="203"/>
      <c r="L21" s="211"/>
    </row>
    <row r="22" spans="1:12" s="132" customFormat="1" ht="17.25" customHeight="1">
      <c r="A22" s="133" t="s">
        <v>200</v>
      </c>
      <c r="B22" s="204">
        <f>+('Compte de résultat'!C31+'Compte de résultat'!C32)</f>
        <v>0</v>
      </c>
      <c r="C22" s="205" t="str">
        <f t="shared" si="0"/>
        <v/>
      </c>
      <c r="D22" s="204">
        <f>+('Compte de résultat'!D31+'Compte de résultat'!D32)</f>
        <v>0</v>
      </c>
      <c r="E22" s="205" t="str">
        <f t="shared" si="1"/>
        <v/>
      </c>
      <c r="F22" s="204">
        <f>+('Compte de résultat'!E31+'Compte de résultat'!E32)</f>
        <v>0</v>
      </c>
      <c r="G22" s="205" t="str">
        <f t="shared" si="2"/>
        <v/>
      </c>
      <c r="H22" s="204" t="str">
        <f t="shared" si="3"/>
        <v/>
      </c>
      <c r="I22" s="206" t="e">
        <f t="shared" si="4"/>
        <v>#VALUE!</v>
      </c>
      <c r="J22" s="208" t="str">
        <f>IF(H22&gt;0,"ä",IF(H22&lt;0,"æ","à"))</f>
        <v>ä</v>
      </c>
      <c r="K22" s="203"/>
      <c r="L22" s="218"/>
    </row>
    <row r="23" spans="1:12" s="132" customFormat="1" ht="17.25" customHeight="1">
      <c r="A23" s="133" t="s">
        <v>201</v>
      </c>
      <c r="B23" s="204">
        <f>+'Compte de résultat'!C40</f>
        <v>0</v>
      </c>
      <c r="C23" s="205" t="str">
        <f t="shared" si="0"/>
        <v/>
      </c>
      <c r="D23" s="204">
        <f>+'Compte de résultat'!D40</f>
        <v>0</v>
      </c>
      <c r="E23" s="205" t="str">
        <f t="shared" si="1"/>
        <v/>
      </c>
      <c r="F23" s="204">
        <f>+'Compte de résultat'!E40</f>
        <v>0</v>
      </c>
      <c r="G23" s="205" t="str">
        <f t="shared" si="2"/>
        <v/>
      </c>
      <c r="H23" s="204" t="str">
        <f t="shared" si="3"/>
        <v/>
      </c>
      <c r="I23" s="206" t="e">
        <f t="shared" si="4"/>
        <v>#VALUE!</v>
      </c>
      <c r="J23" s="208"/>
      <c r="K23" s="191"/>
      <c r="L23" s="209"/>
    </row>
    <row r="24" spans="1:12" s="132" customFormat="1" ht="17.25" customHeight="1">
      <c r="A24" s="134" t="s">
        <v>202</v>
      </c>
      <c r="B24" s="219">
        <f>+'Compte de résultat'!C33</f>
        <v>0</v>
      </c>
      <c r="C24" s="220" t="str">
        <f t="shared" si="0"/>
        <v/>
      </c>
      <c r="D24" s="219">
        <f>+'Compte de résultat'!D33</f>
        <v>0</v>
      </c>
      <c r="E24" s="220" t="str">
        <f t="shared" si="1"/>
        <v/>
      </c>
      <c r="F24" s="219">
        <f>+'Compte de résultat'!E33</f>
        <v>0</v>
      </c>
      <c r="G24" s="220" t="str">
        <f t="shared" si="2"/>
        <v/>
      </c>
      <c r="H24" s="219" t="str">
        <f t="shared" si="3"/>
        <v/>
      </c>
      <c r="I24" s="221" t="e">
        <f t="shared" si="4"/>
        <v>#VALUE!</v>
      </c>
      <c r="J24" s="222"/>
      <c r="K24" s="191"/>
      <c r="L24" s="209"/>
    </row>
    <row r="25" spans="1:12" s="67" customFormat="1" ht="17.25" customHeight="1">
      <c r="A25" s="212" t="s">
        <v>203</v>
      </c>
      <c r="B25" s="223">
        <f>SUM(B19:B24)</f>
        <v>0</v>
      </c>
      <c r="C25" s="214" t="str">
        <f t="shared" si="0"/>
        <v/>
      </c>
      <c r="D25" s="223">
        <f>SUM(D19:D24)</f>
        <v>0</v>
      </c>
      <c r="E25" s="214" t="str">
        <f t="shared" si="1"/>
        <v/>
      </c>
      <c r="F25" s="223">
        <f>SUM(F19:F24)</f>
        <v>0</v>
      </c>
      <c r="G25" s="214" t="str">
        <f t="shared" si="2"/>
        <v/>
      </c>
      <c r="H25" s="223" t="str">
        <f t="shared" si="3"/>
        <v/>
      </c>
      <c r="I25" s="215" t="e">
        <f t="shared" si="4"/>
        <v>#VALUE!</v>
      </c>
      <c r="J25" s="216" t="str">
        <f>IF(H25&gt;0,"ä",IF(H25&lt;0,"æ","à"))</f>
        <v>ä</v>
      </c>
      <c r="K25" s="164"/>
      <c r="L25" s="224"/>
    </row>
    <row r="26" spans="1:12" s="67" customFormat="1" ht="17.25" customHeight="1">
      <c r="A26" s="225" t="s">
        <v>204</v>
      </c>
      <c r="B26" s="226">
        <f>+B18-B25</f>
        <v>0</v>
      </c>
      <c r="C26" s="227" t="str">
        <f t="shared" si="0"/>
        <v/>
      </c>
      <c r="D26" s="226">
        <f>+D18-D25</f>
        <v>0</v>
      </c>
      <c r="E26" s="227" t="str">
        <f t="shared" si="1"/>
        <v/>
      </c>
      <c r="F26" s="226">
        <f>+F18-F25</f>
        <v>0</v>
      </c>
      <c r="G26" s="227" t="str">
        <f t="shared" si="2"/>
        <v/>
      </c>
      <c r="H26" s="226" t="str">
        <f t="shared" si="3"/>
        <v/>
      </c>
      <c r="I26" s="228" t="e">
        <f>IF(OR((H26/D26)&gt;400%,(H26/D26)&lt;-400%),"",H26/D26)</f>
        <v>#VALUE!</v>
      </c>
      <c r="J26" s="229" t="str">
        <f>IF(H26&gt;0,"ä",IF(H26&lt;0,"æ","à"))</f>
        <v>ä</v>
      </c>
      <c r="K26" s="164"/>
      <c r="L26" s="217"/>
    </row>
    <row r="27" spans="1:12" s="132" customFormat="1" ht="17.25" hidden="1" customHeight="1" outlineLevel="1">
      <c r="A27" s="230" t="s">
        <v>205</v>
      </c>
      <c r="B27" s="231">
        <f>+'Compte de résultat'!G34</f>
        <v>0</v>
      </c>
      <c r="C27" s="232" t="str">
        <f t="shared" si="0"/>
        <v/>
      </c>
      <c r="D27" s="231">
        <f>+'Compte de résultat'!H34</f>
        <v>0</v>
      </c>
      <c r="E27" s="232" t="str">
        <f t="shared" si="1"/>
        <v/>
      </c>
      <c r="F27" s="231">
        <f>+'Compte de résultat'!I34</f>
        <v>0</v>
      </c>
      <c r="G27" s="232" t="str">
        <f t="shared" si="2"/>
        <v/>
      </c>
      <c r="H27" s="231" t="str">
        <f t="shared" si="3"/>
        <v/>
      </c>
      <c r="I27" s="206" t="e">
        <f>IF(H27&lt;&gt;0,H27/D27,"")</f>
        <v>#VALUE!</v>
      </c>
      <c r="J27" s="233"/>
      <c r="K27" s="191"/>
    </row>
    <row r="28" spans="1:12" s="132" customFormat="1" ht="17.25" hidden="1" customHeight="1" outlineLevel="1">
      <c r="A28" s="234" t="s">
        <v>206</v>
      </c>
      <c r="B28" s="235">
        <f>+'Compte de résultat'!C35</f>
        <v>0</v>
      </c>
      <c r="C28" s="236" t="str">
        <f t="shared" si="0"/>
        <v/>
      </c>
      <c r="D28" s="235">
        <f>+'Compte de résultat'!D35</f>
        <v>0</v>
      </c>
      <c r="E28" s="236" t="str">
        <f t="shared" si="1"/>
        <v/>
      </c>
      <c r="F28" s="235">
        <f>+'Compte de résultat'!E35</f>
        <v>0</v>
      </c>
      <c r="G28" s="236" t="str">
        <f t="shared" si="2"/>
        <v/>
      </c>
      <c r="H28" s="235" t="str">
        <f t="shared" si="3"/>
        <v/>
      </c>
      <c r="I28" s="206" t="e">
        <f>IF(H28&lt;&gt;0,H28/D28,"")</f>
        <v>#VALUE!</v>
      </c>
      <c r="J28" s="237"/>
      <c r="K28" s="191"/>
    </row>
    <row r="29" spans="1:12" s="67" customFormat="1" ht="17.25" customHeight="1" collapsed="1">
      <c r="A29" s="367" t="s">
        <v>207</v>
      </c>
      <c r="B29" s="368">
        <f>+B27-B28</f>
        <v>0</v>
      </c>
      <c r="C29" s="369" t="str">
        <f t="shared" si="0"/>
        <v/>
      </c>
      <c r="D29" s="368">
        <f>+D27-D28</f>
        <v>0</v>
      </c>
      <c r="E29" s="369" t="str">
        <f t="shared" si="1"/>
        <v/>
      </c>
      <c r="F29" s="368">
        <f>+F27-F28</f>
        <v>0</v>
      </c>
      <c r="G29" s="369" t="str">
        <f t="shared" si="2"/>
        <v/>
      </c>
      <c r="H29" s="368" t="str">
        <f t="shared" si="3"/>
        <v/>
      </c>
      <c r="I29" s="370" t="e">
        <f>IF(OR((H29/D29)&gt;400%,(H29/D29)&lt;-400%),"",H29/D29)</f>
        <v>#VALUE!</v>
      </c>
      <c r="J29" s="371" t="str">
        <f>IF(H29&gt;0,"ä",IF(H29&lt;0,"æ","à"))</f>
        <v>ä</v>
      </c>
      <c r="K29" s="164"/>
      <c r="L29" s="217"/>
    </row>
    <row r="30" spans="1:12" ht="17.25" hidden="1" customHeight="1" outlineLevel="1">
      <c r="A30" s="372" t="s">
        <v>208</v>
      </c>
      <c r="B30" s="373">
        <f>+B26+B29</f>
        <v>0</v>
      </c>
      <c r="C30" s="374" t="str">
        <f t="shared" si="0"/>
        <v/>
      </c>
      <c r="D30" s="373">
        <f>+D26+D29</f>
        <v>0</v>
      </c>
      <c r="E30" s="374" t="str">
        <f t="shared" si="1"/>
        <v/>
      </c>
      <c r="F30" s="373">
        <f>+F26+F29</f>
        <v>0</v>
      </c>
      <c r="G30" s="374" t="str">
        <f t="shared" si="2"/>
        <v/>
      </c>
      <c r="H30" s="373" t="str">
        <f t="shared" si="3"/>
        <v/>
      </c>
      <c r="I30" s="375" t="e">
        <f>IF(OR((H30/D30)&gt;400%,(H30/D30)&lt;-400%),"",H30/D30)</f>
        <v>#VALUE!</v>
      </c>
      <c r="J30" s="376"/>
      <c r="K30" s="191"/>
      <c r="L30" s="132"/>
    </row>
    <row r="31" spans="1:12" s="132" customFormat="1" ht="17.25" hidden="1" customHeight="1" outlineLevel="1">
      <c r="A31" s="377" t="s">
        <v>209</v>
      </c>
      <c r="B31" s="378">
        <f>+'Compte de résultat'!G36</f>
        <v>0</v>
      </c>
      <c r="C31" s="379" t="str">
        <f t="shared" si="0"/>
        <v/>
      </c>
      <c r="D31" s="378">
        <f>+'Compte de résultat'!H36</f>
        <v>0</v>
      </c>
      <c r="E31" s="379" t="str">
        <f t="shared" si="1"/>
        <v/>
      </c>
      <c r="F31" s="378">
        <f>+'Compte de résultat'!I36</f>
        <v>0</v>
      </c>
      <c r="G31" s="379" t="str">
        <f t="shared" si="2"/>
        <v/>
      </c>
      <c r="H31" s="378" t="str">
        <f t="shared" si="3"/>
        <v/>
      </c>
      <c r="I31" s="380" t="e">
        <f>IF(H31&lt;&gt;0,H31/D31,"")</f>
        <v>#VALUE!</v>
      </c>
      <c r="J31" s="381"/>
      <c r="K31" s="191"/>
    </row>
    <row r="32" spans="1:12" s="132" customFormat="1" ht="17.25" hidden="1" customHeight="1" outlineLevel="1">
      <c r="A32" s="382" t="s">
        <v>210</v>
      </c>
      <c r="B32" s="383">
        <f>+'Compte de résultat'!C36</f>
        <v>0</v>
      </c>
      <c r="C32" s="384" t="str">
        <f t="shared" si="0"/>
        <v/>
      </c>
      <c r="D32" s="383">
        <f>+'Compte de résultat'!D36</f>
        <v>0</v>
      </c>
      <c r="E32" s="384" t="str">
        <f t="shared" si="1"/>
        <v/>
      </c>
      <c r="F32" s="383">
        <f>+'Compte de résultat'!E36</f>
        <v>0</v>
      </c>
      <c r="G32" s="384" t="str">
        <f t="shared" si="2"/>
        <v/>
      </c>
      <c r="H32" s="383" t="str">
        <f t="shared" si="3"/>
        <v/>
      </c>
      <c r="I32" s="380" t="e">
        <f>IF(H32&lt;&gt;0,H32/D32,"")</f>
        <v>#VALUE!</v>
      </c>
      <c r="J32" s="385"/>
      <c r="K32" s="191"/>
    </row>
    <row r="33" spans="1:30" s="67" customFormat="1" ht="17.25" customHeight="1" collapsed="1">
      <c r="A33" s="367" t="s">
        <v>211</v>
      </c>
      <c r="B33" s="368">
        <f>+B31-B32</f>
        <v>0</v>
      </c>
      <c r="C33" s="369" t="str">
        <f t="shared" si="0"/>
        <v/>
      </c>
      <c r="D33" s="368">
        <f>+D31-D32</f>
        <v>0</v>
      </c>
      <c r="E33" s="369" t="str">
        <f t="shared" si="1"/>
        <v/>
      </c>
      <c r="F33" s="368">
        <f>+F31-F32</f>
        <v>0</v>
      </c>
      <c r="G33" s="369" t="str">
        <f t="shared" si="2"/>
        <v/>
      </c>
      <c r="H33" s="368" t="str">
        <f t="shared" si="3"/>
        <v/>
      </c>
      <c r="I33" s="370" t="e">
        <f>IF(H33&lt;&gt;0,H33/D33,"")</f>
        <v>#VALUE!</v>
      </c>
      <c r="J33" s="371" t="str">
        <f>IF(H33&gt;0,"ä",IF(H33&lt;0,"æ","à"))</f>
        <v>ä</v>
      </c>
      <c r="K33" s="164"/>
      <c r="L33" s="217"/>
    </row>
    <row r="34" spans="1:30" s="132" customFormat="1" ht="17.25" customHeight="1">
      <c r="A34" s="238" t="s">
        <v>212</v>
      </c>
      <c r="B34" s="239">
        <f>+'Compte de résultat'!C41</f>
        <v>0</v>
      </c>
      <c r="C34" s="240" t="str">
        <f t="shared" si="0"/>
        <v/>
      </c>
      <c r="D34" s="239">
        <f>+'Compte de résultat'!D41</f>
        <v>0</v>
      </c>
      <c r="E34" s="240" t="str">
        <f t="shared" si="1"/>
        <v/>
      </c>
      <c r="F34" s="239">
        <f>+'Compte de résultat'!E41</f>
        <v>0</v>
      </c>
      <c r="G34" s="240" t="str">
        <f t="shared" si="2"/>
        <v/>
      </c>
      <c r="H34" s="239" t="str">
        <f t="shared" si="3"/>
        <v/>
      </c>
      <c r="I34" s="241" t="e">
        <f>IF(H34&lt;&gt;0,H34/D34,"")</f>
        <v>#VALUE!</v>
      </c>
      <c r="J34" s="242"/>
      <c r="K34" s="191"/>
    </row>
    <row r="35" spans="1:30" s="248" customFormat="1" ht="17.25" customHeight="1">
      <c r="A35" s="243" t="s">
        <v>213</v>
      </c>
      <c r="B35" s="244">
        <f>+B30+B33-B34</f>
        <v>0</v>
      </c>
      <c r="C35" s="245" t="str">
        <f t="shared" si="0"/>
        <v/>
      </c>
      <c r="D35" s="244">
        <f>+D30+D33-D34</f>
        <v>0</v>
      </c>
      <c r="E35" s="245" t="str">
        <f t="shared" si="1"/>
        <v/>
      </c>
      <c r="F35" s="244">
        <f>+F30+F33-F34</f>
        <v>0</v>
      </c>
      <c r="G35" s="245" t="str">
        <f t="shared" si="2"/>
        <v/>
      </c>
      <c r="H35" s="244" t="str">
        <f t="shared" si="3"/>
        <v/>
      </c>
      <c r="I35" s="246" t="e">
        <f>IF(OR((H35/D35)&gt;400%,(H35/D35)&lt;-400%),"",H35/D35)</f>
        <v>#VALUE!</v>
      </c>
      <c r="J35" s="121" t="str">
        <f>IF(H35&gt;0,"ä",IF(H35&lt;0,"æ","à"))</f>
        <v>ä</v>
      </c>
      <c r="K35" s="191"/>
      <c r="L35" s="247"/>
    </row>
    <row r="36" spans="1:30" ht="18">
      <c r="B36" s="132"/>
      <c r="C36" s="249"/>
      <c r="D36" s="132"/>
      <c r="E36" s="250"/>
      <c r="F36" s="251"/>
      <c r="G36" s="250"/>
      <c r="H36" s="252"/>
      <c r="I36" s="191"/>
      <c r="J36" s="191"/>
      <c r="K36" s="191"/>
      <c r="L36" s="132"/>
    </row>
    <row r="37" spans="1:30">
      <c r="C37" s="253"/>
      <c r="E37" s="253"/>
      <c r="G37" s="253"/>
      <c r="J37" s="254"/>
    </row>
    <row r="38" spans="1:30" ht="18.75" customHeight="1">
      <c r="A38" s="110" t="s">
        <v>214</v>
      </c>
      <c r="B38" s="188"/>
      <c r="C38" s="188"/>
      <c r="D38" s="188"/>
      <c r="E38" s="188"/>
      <c r="F38" s="188"/>
      <c r="G38" s="188"/>
      <c r="H38" s="188"/>
      <c r="I38" s="187"/>
      <c r="J38" s="190"/>
      <c r="K38" s="187"/>
      <c r="L38" s="187"/>
      <c r="M38" s="187"/>
    </row>
    <row r="39" spans="1:30" ht="12.75" customHeight="1">
      <c r="A39" s="110"/>
      <c r="B39" s="188"/>
      <c r="C39" s="188"/>
      <c r="D39" s="188"/>
      <c r="E39" s="188"/>
      <c r="F39" s="188"/>
      <c r="G39" s="188"/>
      <c r="H39" s="188"/>
      <c r="I39" s="187"/>
      <c r="J39" s="190"/>
      <c r="K39" s="187"/>
      <c r="L39" s="187"/>
      <c r="M39" s="187"/>
    </row>
    <row r="40" spans="1:30" ht="25.5" customHeight="1">
      <c r="A40" s="255" t="s">
        <v>173</v>
      </c>
      <c r="B40" s="115">
        <f>annee-2</f>
        <v>2021</v>
      </c>
      <c r="C40" s="113">
        <f>annee-1</f>
        <v>2022</v>
      </c>
      <c r="D40" s="113">
        <f>annee</f>
        <v>2023</v>
      </c>
      <c r="E40" s="114" t="s">
        <v>215</v>
      </c>
      <c r="F40" s="437" t="str">
        <f>"Remarques Année "&amp;annee-1</f>
        <v>Remarques Année 2022</v>
      </c>
      <c r="G40" s="437"/>
      <c r="H40" s="437"/>
      <c r="I40" s="438" t="s">
        <v>139</v>
      </c>
      <c r="J40" s="438"/>
      <c r="K40" s="438"/>
      <c r="L40" s="438"/>
      <c r="M40" s="187"/>
    </row>
    <row r="41" spans="1:30" s="167" customFormat="1" ht="34.5" customHeight="1">
      <c r="A41" s="256"/>
      <c r="B41" s="257" t="str">
        <f>B10</f>
        <v>Réalisé</v>
      </c>
      <c r="C41" s="258" t="str">
        <f>+D10</f>
        <v>Réalisé</v>
      </c>
      <c r="D41" s="347" t="str">
        <f>F10</f>
        <v>Prévisionnel ou réalisé</v>
      </c>
      <c r="E41" s="114"/>
      <c r="F41" s="437"/>
      <c r="G41" s="437"/>
      <c r="H41" s="437"/>
      <c r="I41" s="438"/>
      <c r="J41" s="438"/>
      <c r="K41" s="438"/>
      <c r="L41" s="438"/>
    </row>
    <row r="42" spans="1:30" ht="55.5" customHeight="1">
      <c r="A42" s="259" t="s">
        <v>366</v>
      </c>
      <c r="B42" s="260" t="str">
        <f>IF(B13&gt;0,B$13/(B$18+B$27+B$31),"")</f>
        <v/>
      </c>
      <c r="C42" s="260" t="str">
        <f>IF(D13&gt;0,D$13/(D$18+D27+D31),"")</f>
        <v/>
      </c>
      <c r="D42" s="260" t="str">
        <f>IF(F13&gt;0,F$13/(F$18+F27+F31),"")</f>
        <v/>
      </c>
      <c r="E42" s="261" t="e">
        <f>IF(AD42&gt;0,"ä",IF(AD42&lt;0,"æ","à"))</f>
        <v>#VALUE!</v>
      </c>
      <c r="F42" s="439" t="str">
        <f>IF(C42="","Compte de résultat non remplis",IF(C42&gt;=50%,"Structure fortement dépendante par rapport à ses subventionneurs","Les subventions représentent moins de 50% des produits d'exploitation"))</f>
        <v>Compte de résultat non remplis</v>
      </c>
      <c r="G42" s="439"/>
      <c r="H42" s="439"/>
      <c r="I42" s="440" t="s">
        <v>216</v>
      </c>
      <c r="J42" s="440"/>
      <c r="K42" s="440"/>
      <c r="L42" s="440"/>
      <c r="AD42" s="262" t="e">
        <f>+D42-C42</f>
        <v>#VALUE!</v>
      </c>
    </row>
    <row r="43" spans="1:30" ht="42" hidden="1" customHeight="1" outlineLevel="1">
      <c r="A43" s="259" t="s">
        <v>217</v>
      </c>
      <c r="B43" s="260" t="str">
        <f>IF(B14&gt;0,B$14/(B$18+B27+B31),"")</f>
        <v/>
      </c>
      <c r="C43" s="260" t="str">
        <f>IF(D14&gt;0,D$14/(D$18+D27+D31),"")</f>
        <v/>
      </c>
      <c r="D43" s="260" t="str">
        <f>IF(F14&gt;0,F$14/(F$18+F27+F31),"")</f>
        <v/>
      </c>
      <c r="E43" s="263" t="e">
        <f>IF(AD43&gt;0,"ä",IF(AD43&lt;0,"æ","à"))</f>
        <v>#VALUE!</v>
      </c>
      <c r="F43" s="441" t="str">
        <f>IF(C43="","Compte de résultat non remplis",IF(C43&gt;=50%,"Structure fortement dépendante de la Ville","Les subventions Ville représentent moins de 50% des produits d'exploitation"))</f>
        <v>Compte de résultat non remplis</v>
      </c>
      <c r="G43" s="441"/>
      <c r="H43" s="441"/>
      <c r="I43" s="442" t="s">
        <v>355</v>
      </c>
      <c r="J43" s="442"/>
      <c r="K43" s="442"/>
      <c r="L43" s="442"/>
      <c r="AD43" s="262" t="e">
        <f>+D43-C43</f>
        <v>#VALUE!</v>
      </c>
    </row>
    <row r="44" spans="1:30" ht="42" customHeight="1" collapsed="1">
      <c r="A44" s="259" t="s">
        <v>363</v>
      </c>
      <c r="B44" s="260" t="str">
        <f>IF(B14&gt;0,B14/B$13,"")</f>
        <v/>
      </c>
      <c r="C44" s="260" t="str">
        <f>IF(D14&gt;0,D14/D$13,"")</f>
        <v/>
      </c>
      <c r="D44" s="260" t="str">
        <f>IF(F14&gt;0,F14/F$13,"")</f>
        <v/>
      </c>
      <c r="E44" s="263" t="e">
        <f>IF(AD44&gt;0,"ä",IF(AD44&lt;0,"æ","à"))</f>
        <v>#VALUE!</v>
      </c>
      <c r="F44" s="441" t="str">
        <f>IF(C44="","Compte de résultat non remplis",IF(C44&gt;=50%,"La Ville représente + de 50% des subventions reçues","La Ville représente - de 50% des subventions reçues"))</f>
        <v>Compte de résultat non remplis</v>
      </c>
      <c r="G44" s="441"/>
      <c r="H44" s="441"/>
      <c r="I44" s="442" t="s">
        <v>354</v>
      </c>
      <c r="J44" s="442"/>
      <c r="K44" s="442"/>
      <c r="L44" s="442"/>
      <c r="AD44" s="262" t="e">
        <f>+D44-C44</f>
        <v>#VALUE!</v>
      </c>
    </row>
    <row r="45" spans="1:30" ht="42" customHeight="1">
      <c r="A45" s="259" t="s">
        <v>364</v>
      </c>
      <c r="B45" s="260" t="str">
        <f>IF(B11&gt;0,(B$11+B12+B16)/(B$18),"")</f>
        <v/>
      </c>
      <c r="C45" s="260" t="str">
        <f>IF(D11&gt;0,(D$11+D12+D16)/(D$18),"")</f>
        <v/>
      </c>
      <c r="D45" s="260" t="str">
        <f>IF(F11&gt;0,(F$11+F12+F16)/(F$18),"")</f>
        <v/>
      </c>
      <c r="E45" s="261" t="e">
        <f>IF(AD45&gt;0,"ä",IF(AD45&lt;0,"æ","à"))</f>
        <v>#VALUE!</v>
      </c>
      <c r="F45" s="441" t="str">
        <f>IF(C45="","Compte de résultat non remplis",IF(C45&lt;=10%,"Structure avec peu de recettes propres","Structure avec des recettes propres"))</f>
        <v>Compte de résultat non remplis</v>
      </c>
      <c r="G45" s="441"/>
      <c r="H45" s="441"/>
      <c r="I45" s="442" t="s">
        <v>218</v>
      </c>
      <c r="J45" s="442"/>
      <c r="K45" s="442"/>
      <c r="L45" s="442"/>
      <c r="AD45" s="262" t="e">
        <f>+D45-C45</f>
        <v>#VALUE!</v>
      </c>
    </row>
    <row r="46" spans="1:30" ht="53.25" hidden="1" customHeight="1" outlineLevel="1">
      <c r="A46" s="259" t="s">
        <v>219</v>
      </c>
      <c r="B46" s="260" t="str">
        <f>IF(B25&gt;0,(B22)/(B$18),"")</f>
        <v/>
      </c>
      <c r="C46" s="260" t="str">
        <f>IF(D25&gt;0,(D22)/(D$18),"")</f>
        <v/>
      </c>
      <c r="D46" s="260" t="str">
        <f>IF(F25&gt;0,(F22)/(F$18),"")</f>
        <v/>
      </c>
      <c r="E46" s="263" t="e">
        <f>IF(AD46&gt;0,"ä",IF(AD46&lt;0,"æ","à"))</f>
        <v>#VALUE!</v>
      </c>
      <c r="F46" s="443" t="str">
        <f>IF(C46="","Compte de résultat non remplis",IF(C46&gt;50%,"Les charges de personnel représentent un coût important pour la structure","Les charges de personnel représentent moins de la moitié des charges d'exploitation"))</f>
        <v>Compte de résultat non remplis</v>
      </c>
      <c r="G46" s="443"/>
      <c r="H46" s="443"/>
      <c r="I46" s="442" t="s">
        <v>220</v>
      </c>
      <c r="J46" s="442"/>
      <c r="K46" s="442"/>
      <c r="L46" s="442"/>
      <c r="AD46" s="265" t="e">
        <f>+D46-C46</f>
        <v>#VALUE!</v>
      </c>
    </row>
    <row r="47" spans="1:30" ht="58.5" hidden="1" customHeight="1" outlineLevel="1">
      <c r="A47" s="266" t="s">
        <v>221</v>
      </c>
      <c r="B47" s="262" t="str">
        <f>IF(B28&gt;0,B28/B25,"")</f>
        <v/>
      </c>
      <c r="C47" s="262" t="str">
        <f>IF(D28&gt;0,D28/D25,"")</f>
        <v/>
      </c>
      <c r="D47" s="262" t="str">
        <f>IF(F28&gt;0,F28/F25,"")</f>
        <v/>
      </c>
      <c r="E47" s="263" t="e">
        <f>IF(AD47&gt;0,"ä",IF(AD47&lt;0,"æ",""))</f>
        <v>#VALUE!</v>
      </c>
      <c r="F47" s="444" t="str">
        <f>IF(D47="","Aucune charge financière",IF(D47&gt;5%,"Structure endettée","Niveau des charges financières non alarmant"))</f>
        <v>Aucune charge financière</v>
      </c>
      <c r="G47" s="444"/>
      <c r="H47" s="444"/>
      <c r="I47" s="442" t="s">
        <v>222</v>
      </c>
      <c r="J47" s="442"/>
      <c r="K47" s="442"/>
      <c r="L47" s="442"/>
      <c r="AD47" s="265" t="e">
        <f t="shared" ref="AD47" si="5">+D47-B47</f>
        <v>#VALUE!</v>
      </c>
    </row>
    <row r="48" spans="1:30" ht="45" customHeight="1" collapsed="1">
      <c r="A48" s="266" t="s">
        <v>223</v>
      </c>
      <c r="B48" s="360">
        <f>+B35</f>
        <v>0</v>
      </c>
      <c r="C48" s="360">
        <f>+D35</f>
        <v>0</v>
      </c>
      <c r="D48" s="360">
        <f>+F35</f>
        <v>0</v>
      </c>
      <c r="E48" s="263" t="str">
        <f>IF(AD48&gt;0,"ä",IF(AD48&lt;0,"æ","à"))</f>
        <v>à</v>
      </c>
      <c r="F48" s="444" t="str">
        <f>IF(C48="","Compte de résultat non remplis",IF(C48&gt;0,"L'exercice "&amp;annee-1&amp;" dégage un excédent",IF(C48&lt;0,"L'exercice "&amp;annee-1&amp;" est déficitaire","l'exercice est à l'équilibre")))</f>
        <v>l'exercice est à l'équilibre</v>
      </c>
      <c r="G48" s="444"/>
      <c r="H48" s="444"/>
      <c r="I48" s="442" t="s">
        <v>224</v>
      </c>
      <c r="J48" s="442"/>
      <c r="K48" s="442"/>
      <c r="L48" s="442"/>
      <c r="AD48" s="264">
        <f>+D48-C48</f>
        <v>0</v>
      </c>
    </row>
    <row r="49" spans="1:30" ht="55.5" customHeight="1" outlineLevel="1">
      <c r="A49" s="266" t="s">
        <v>225</v>
      </c>
      <c r="B49" s="359">
        <f>IF(B48="","",'Compte de résultat'!C46+'Compte de résultat'!C40-'Compte de résultat'!G40+'Compte de résultat'!C37-'Compte de résultat'!G37-'Compte de résultat'!G38)</f>
        <v>0</v>
      </c>
      <c r="C49" s="359">
        <f>IF(C48="","",'Compte de résultat'!D46+'Compte de résultat'!D40-'Compte de résultat'!H40+'Compte de résultat'!D37-'Compte de résultat'!H37-'Compte de résultat'!H38)</f>
        <v>0</v>
      </c>
      <c r="D49" s="359">
        <f>IF(D48="","",'Compte de résultat'!E46+'Compte de résultat'!E40-'Compte de résultat'!I40+'Compte de résultat'!E37-'Compte de résultat'!I37-'Compte de résultat'!I38)</f>
        <v>0</v>
      </c>
      <c r="E49" s="263" t="str">
        <f>IF(AD49&gt;0,"ä",IF(AD49&lt;0,"æ","à"))</f>
        <v>à</v>
      </c>
      <c r="F49" s="444" t="str">
        <f>IF(C49&lt;=0,"Capacité d'autofinacement négative","Capacité d'autofinacement positive")</f>
        <v>Capacité d'autofinacement négative</v>
      </c>
      <c r="G49" s="444"/>
      <c r="H49" s="444"/>
      <c r="I49" s="442" t="s">
        <v>226</v>
      </c>
      <c r="J49" s="442"/>
      <c r="K49" s="442"/>
      <c r="L49" s="442"/>
      <c r="AD49" s="264">
        <f>+D49-C49</f>
        <v>0</v>
      </c>
    </row>
    <row r="50" spans="1:30" ht="22.5" customHeight="1">
      <c r="A50" s="267" t="s">
        <v>227</v>
      </c>
    </row>
    <row r="51" spans="1:30">
      <c r="A51" s="267" t="s">
        <v>228</v>
      </c>
    </row>
    <row r="53" spans="1:30" ht="43.5" customHeight="1"/>
    <row r="54" spans="1:30" ht="20.25">
      <c r="A54" s="430" t="str">
        <f>"Analyse Compte de résultat "&amp;annee-1&amp;" / "&amp;annee</f>
        <v>Analyse Compte de résultat 2022 / 2023</v>
      </c>
      <c r="B54" s="430"/>
      <c r="C54" s="430"/>
      <c r="D54" s="430"/>
      <c r="E54" s="430"/>
      <c r="F54" s="430"/>
      <c r="G54" s="430"/>
      <c r="H54" s="430"/>
      <c r="I54" s="430"/>
      <c r="J54" s="430"/>
      <c r="K54" s="430"/>
      <c r="L54" s="107"/>
      <c r="M54" s="107"/>
    </row>
    <row r="55" spans="1:30">
      <c r="A55" s="132"/>
      <c r="B55" s="132"/>
    </row>
    <row r="56" spans="1:30">
      <c r="A56" s="132"/>
      <c r="B56" s="132"/>
    </row>
    <row r="57" spans="1:30">
      <c r="A57" s="132"/>
      <c r="B57" s="132"/>
    </row>
    <row r="58" spans="1:30" ht="23.25" customHeight="1">
      <c r="A58" s="96"/>
      <c r="B58" s="96"/>
      <c r="C58" s="193"/>
      <c r="D58" s="193"/>
      <c r="E58" s="193"/>
      <c r="F58" s="268" t="s">
        <v>229</v>
      </c>
      <c r="G58" s="193"/>
      <c r="I58" s="132"/>
      <c r="J58" s="132"/>
      <c r="K58" s="132"/>
      <c r="L58" s="132"/>
      <c r="M58" s="193"/>
    </row>
    <row r="59" spans="1:30" ht="15">
      <c r="A59" s="193"/>
      <c r="B59" s="193"/>
      <c r="C59" s="193"/>
      <c r="D59" s="193"/>
      <c r="E59" s="193"/>
    </row>
    <row r="60" spans="1:30" ht="15.75">
      <c r="F60" s="124" t="str">
        <f>"- Réalisé "&amp;annee-1</f>
        <v>- Réalisé 2022</v>
      </c>
      <c r="G60" s="193"/>
      <c r="M60" s="193"/>
    </row>
    <row r="61" spans="1:30" ht="15">
      <c r="A61" s="132"/>
      <c r="B61" s="132"/>
      <c r="C61" s="132"/>
      <c r="D61" s="132"/>
      <c r="E61" s="132"/>
      <c r="F61" s="178" t="str">
        <f>"Les produits d'exploitation "&amp;annee-1&amp;" sont de :"</f>
        <v>Les produits d'exploitation 2022 sont de :</v>
      </c>
      <c r="K61" s="269">
        <f>+D18</f>
        <v>0</v>
      </c>
      <c r="L61" s="178" t="s">
        <v>138</v>
      </c>
    </row>
    <row r="62" spans="1:30">
      <c r="A62" s="132"/>
      <c r="B62" s="132"/>
      <c r="C62" s="132"/>
      <c r="D62" s="132"/>
      <c r="E62" s="132"/>
      <c r="F62" s="270" t="s">
        <v>230</v>
      </c>
      <c r="G62" s="271"/>
      <c r="H62" s="272"/>
      <c r="I62" s="271"/>
      <c r="J62" s="271"/>
      <c r="K62" s="273" t="str">
        <f>+E13</f>
        <v/>
      </c>
      <c r="L62" s="132"/>
    </row>
    <row r="63" spans="1:30">
      <c r="A63" s="132"/>
      <c r="B63" s="132"/>
      <c r="C63" s="132"/>
      <c r="D63" s="132"/>
      <c r="E63" s="132"/>
      <c r="F63" s="270" t="s">
        <v>231</v>
      </c>
      <c r="G63" s="271"/>
      <c r="H63" s="272"/>
      <c r="I63" s="271"/>
      <c r="J63" s="271"/>
      <c r="K63" s="273" t="str">
        <f>+D45</f>
        <v/>
      </c>
      <c r="L63" s="132"/>
      <c r="M63" s="132"/>
    </row>
    <row r="64" spans="1:30">
      <c r="A64" s="132"/>
      <c r="B64" s="132"/>
      <c r="C64" s="132"/>
      <c r="D64" s="132"/>
      <c r="E64" s="132"/>
      <c r="F64" s="270" t="s">
        <v>232</v>
      </c>
      <c r="G64" s="271"/>
      <c r="H64" s="272"/>
      <c r="I64" s="271"/>
      <c r="J64" s="271"/>
      <c r="K64" s="273" t="e">
        <f>100%-K62-K63</f>
        <v>#VALUE!</v>
      </c>
      <c r="L64" s="132"/>
      <c r="M64" s="132"/>
    </row>
    <row r="65" spans="1:13" ht="15">
      <c r="A65" s="132"/>
      <c r="B65" s="132"/>
      <c r="C65" s="132"/>
      <c r="D65" s="132"/>
      <c r="E65" s="132"/>
      <c r="F65" s="274" t="str">
        <f>"La subvention Ville de "&amp;ROUND(D14/1000,0)&amp;" K€ représente :"</f>
        <v>La subvention Ville de 0 K€ représente :</v>
      </c>
      <c r="G65" s="132"/>
      <c r="I65" s="132"/>
      <c r="J65" s="132"/>
      <c r="K65" s="275" t="str">
        <f>+E14</f>
        <v/>
      </c>
      <c r="L65" s="132" t="s">
        <v>367</v>
      </c>
      <c r="M65" s="132"/>
    </row>
    <row r="66" spans="1:13">
      <c r="A66" s="132"/>
      <c r="B66" s="132"/>
      <c r="C66" s="132"/>
      <c r="D66" s="132"/>
      <c r="E66" s="132"/>
      <c r="F66" s="132"/>
      <c r="G66" s="132"/>
      <c r="I66" s="132"/>
      <c r="J66" s="132"/>
      <c r="K66" s="132"/>
      <c r="L66" s="132"/>
      <c r="M66" s="132"/>
    </row>
    <row r="67" spans="1:13" ht="15">
      <c r="F67" s="124" t="str">
        <f>"- Prévisionnel  ou réal. "&amp;annee</f>
        <v>- Prévisionnel  ou réal. 2023</v>
      </c>
      <c r="G67" s="132"/>
      <c r="I67" s="132"/>
      <c r="J67" s="132"/>
      <c r="K67" s="132"/>
      <c r="L67" s="132"/>
      <c r="M67" s="132"/>
    </row>
    <row r="68" spans="1:13" ht="15">
      <c r="A68" s="132"/>
      <c r="B68" s="132"/>
      <c r="C68" s="132"/>
      <c r="D68" s="132"/>
      <c r="E68" s="132"/>
      <c r="F68" s="178" t="str">
        <f>"Les produits d'exploit. prévsionnels "&amp;annee&amp;" sont de :"</f>
        <v>Les produits d'exploit. prévsionnels 2023 sont de :</v>
      </c>
      <c r="K68" s="269">
        <f>+F18</f>
        <v>0</v>
      </c>
      <c r="L68" s="178" t="s">
        <v>138</v>
      </c>
    </row>
    <row r="69" spans="1:13" ht="15">
      <c r="A69" s="132"/>
      <c r="B69" s="132"/>
      <c r="C69" s="132"/>
      <c r="D69" s="132"/>
      <c r="E69" s="132"/>
      <c r="F69" s="178" t="str">
        <f>"Par rapport à "&amp;annee-1&amp;", les produits varient de :"</f>
        <v>Par rapport à 2022, les produits varient de :</v>
      </c>
      <c r="K69" s="275" t="e">
        <f>+(F18-D18)/D18</f>
        <v>#DIV/0!</v>
      </c>
      <c r="L69" s="132"/>
      <c r="M69" s="132"/>
    </row>
    <row r="70" spans="1:13" ht="15">
      <c r="A70" s="132"/>
      <c r="B70" s="132"/>
      <c r="C70" s="132"/>
      <c r="D70" s="132"/>
      <c r="E70" s="132"/>
      <c r="F70" s="132" t="s">
        <v>233</v>
      </c>
      <c r="G70" s="132"/>
      <c r="I70" s="132"/>
      <c r="J70" s="132"/>
      <c r="K70" s="275" t="e">
        <f>+I13</f>
        <v>#VALUE!</v>
      </c>
      <c r="L70" s="132"/>
      <c r="M70" s="132"/>
    </row>
    <row r="71" spans="1:13" ht="15">
      <c r="A71" s="132"/>
      <c r="B71" s="132"/>
      <c r="C71" s="132"/>
      <c r="D71" s="132"/>
      <c r="E71" s="132"/>
      <c r="F71" s="132" t="str">
        <f>"La subvention Ville de "&amp;ROUND(F14/1000,0)&amp;" K€ varie de :"</f>
        <v>La subvention Ville de 0 K€ varie de :</v>
      </c>
      <c r="G71" s="132"/>
      <c r="I71" s="132"/>
      <c r="J71" s="132"/>
      <c r="K71" s="275" t="e">
        <f>+I14</f>
        <v>#VALUE!</v>
      </c>
      <c r="L71" s="132"/>
      <c r="M71" s="132"/>
    </row>
    <row r="72" spans="1:13">
      <c r="A72" s="132"/>
      <c r="B72" s="132"/>
      <c r="C72" s="132"/>
      <c r="D72" s="132"/>
      <c r="E72" s="132"/>
      <c r="F72" s="132"/>
      <c r="G72" s="132"/>
      <c r="I72" s="132"/>
      <c r="J72" s="132"/>
      <c r="K72" s="132"/>
      <c r="L72" s="132"/>
      <c r="M72" s="132"/>
    </row>
    <row r="73" spans="1:13">
      <c r="A73" s="132"/>
      <c r="B73" s="132"/>
      <c r="C73" s="132"/>
      <c r="D73" s="132"/>
      <c r="E73" s="132"/>
      <c r="G73" s="132"/>
      <c r="I73" s="132"/>
      <c r="J73" s="132"/>
      <c r="K73" s="132"/>
      <c r="L73" s="132"/>
      <c r="M73" s="132"/>
    </row>
    <row r="74" spans="1:13">
      <c r="A74" s="67"/>
      <c r="B74" s="67"/>
      <c r="C74" s="67"/>
      <c r="D74" s="67"/>
      <c r="E74" s="67"/>
      <c r="G74" s="67"/>
      <c r="I74" s="132"/>
      <c r="J74" s="132"/>
      <c r="K74" s="67"/>
      <c r="L74" s="67"/>
      <c r="M74" s="132"/>
    </row>
    <row r="75" spans="1:13" ht="15.75">
      <c r="F75" s="276" t="s">
        <v>234</v>
      </c>
      <c r="I75" s="132"/>
      <c r="J75" s="132"/>
      <c r="M75" s="132"/>
    </row>
    <row r="76" spans="1:13" ht="15">
      <c r="A76" s="132"/>
      <c r="B76" s="132"/>
      <c r="C76" s="132"/>
      <c r="D76" s="132"/>
      <c r="E76" s="132"/>
      <c r="F76" s="132"/>
      <c r="G76" s="132"/>
      <c r="I76" s="132"/>
      <c r="J76" s="132"/>
      <c r="K76" s="275"/>
      <c r="L76" s="132"/>
      <c r="M76" s="132"/>
    </row>
    <row r="77" spans="1:13" ht="15">
      <c r="A77" s="132"/>
      <c r="B77" s="132"/>
      <c r="C77" s="132"/>
      <c r="D77" s="132"/>
      <c r="E77" s="132"/>
      <c r="F77" s="124" t="str">
        <f>"- Réalisé "&amp;annee-1</f>
        <v>- Réalisé 2022</v>
      </c>
      <c r="G77" s="132"/>
      <c r="I77" s="132"/>
      <c r="J77" s="132"/>
      <c r="K77" s="275"/>
      <c r="L77" s="132"/>
      <c r="M77" s="132"/>
    </row>
    <row r="78" spans="1:13" ht="15">
      <c r="F78" s="178" t="str">
        <f>"Les charges d'exploitation "&amp;annee-1&amp;" sont de :"</f>
        <v>Les charges d'exploitation 2022 sont de :</v>
      </c>
      <c r="K78" s="269">
        <f>D25</f>
        <v>0</v>
      </c>
      <c r="L78" s="178" t="s">
        <v>138</v>
      </c>
    </row>
    <row r="79" spans="1:13">
      <c r="F79" s="270" t="s">
        <v>235</v>
      </c>
      <c r="G79" s="271"/>
      <c r="H79" s="272"/>
      <c r="I79" s="272"/>
      <c r="J79" s="272"/>
      <c r="K79" s="273" t="str">
        <f>E22</f>
        <v/>
      </c>
      <c r="L79" s="132"/>
    </row>
    <row r="80" spans="1:13">
      <c r="A80" s="132"/>
      <c r="B80" s="132"/>
      <c r="C80" s="132"/>
      <c r="D80" s="132"/>
      <c r="E80" s="132"/>
      <c r="F80" s="270" t="s">
        <v>236</v>
      </c>
      <c r="G80" s="271"/>
      <c r="H80" s="272"/>
      <c r="I80" s="272"/>
      <c r="J80" s="272"/>
      <c r="K80" s="273" t="str">
        <f>+E20</f>
        <v/>
      </c>
      <c r="L80" s="132"/>
      <c r="M80" s="132"/>
    </row>
    <row r="81" spans="1:13" ht="15">
      <c r="A81" s="132"/>
      <c r="B81" s="132"/>
      <c r="C81" s="132"/>
      <c r="D81" s="132"/>
      <c r="E81" s="132"/>
      <c r="F81" s="132"/>
      <c r="G81" s="132"/>
      <c r="I81" s="132"/>
      <c r="J81" s="132"/>
      <c r="K81" s="275"/>
      <c r="L81" s="132"/>
      <c r="M81" s="132"/>
    </row>
    <row r="82" spans="1:13" ht="15">
      <c r="F82" s="124" t="str">
        <f>"- Prévisionnel ou real. "&amp;annee</f>
        <v>- Prévisionnel ou real. 2023</v>
      </c>
      <c r="G82" s="132"/>
      <c r="I82" s="132"/>
      <c r="J82" s="132"/>
      <c r="K82" s="275"/>
      <c r="L82" s="132"/>
    </row>
    <row r="83" spans="1:13" ht="15">
      <c r="A83" s="132"/>
      <c r="B83" s="132"/>
      <c r="C83" s="132"/>
      <c r="D83" s="132"/>
      <c r="E83" s="132"/>
      <c r="F83" s="178" t="str">
        <f>"Les charges d'exploitation "&amp;annee&amp;" varient de :"</f>
        <v>Les charges d'exploitation 2023 varient de :</v>
      </c>
      <c r="G83" s="277"/>
      <c r="I83" s="277"/>
      <c r="J83" s="277"/>
      <c r="K83" s="275" t="e">
        <f>+I25</f>
        <v>#VALUE!</v>
      </c>
      <c r="L83" s="132" t="str">
        <f>"par rapport à "&amp;annee-1</f>
        <v>par rapport à 2022</v>
      </c>
      <c r="M83" s="132"/>
    </row>
    <row r="84" spans="1:13">
      <c r="A84" s="277"/>
      <c r="B84" s="277"/>
      <c r="C84" s="277"/>
      <c r="D84" s="277"/>
      <c r="E84" s="277"/>
      <c r="F84" s="270" t="s">
        <v>235</v>
      </c>
      <c r="G84" s="272"/>
      <c r="H84" s="272"/>
      <c r="I84" s="272"/>
      <c r="J84" s="272"/>
      <c r="K84" s="273" t="e">
        <f>+I22</f>
        <v>#VALUE!</v>
      </c>
      <c r="L84" s="272"/>
      <c r="M84" s="277"/>
    </row>
    <row r="85" spans="1:13">
      <c r="F85" s="270" t="s">
        <v>236</v>
      </c>
      <c r="G85" s="272"/>
      <c r="H85" s="272"/>
      <c r="I85" s="272"/>
      <c r="J85" s="272"/>
      <c r="K85" s="273" t="e">
        <f>+I20</f>
        <v>#VALUE!</v>
      </c>
      <c r="L85" s="272"/>
    </row>
    <row r="87" spans="1:13">
      <c r="A87" s="132"/>
      <c r="B87" s="132"/>
      <c r="F87" s="178" t="s">
        <v>237</v>
      </c>
    </row>
    <row r="88" spans="1:13">
      <c r="A88" s="132"/>
      <c r="B88" s="132"/>
      <c r="F88" s="178" t="s">
        <v>238</v>
      </c>
    </row>
    <row r="89" spans="1:13">
      <c r="A89" s="132"/>
      <c r="B89" s="132"/>
      <c r="F89" s="178" t="s">
        <v>239</v>
      </c>
    </row>
    <row r="90" spans="1:13" ht="15">
      <c r="A90" s="167"/>
      <c r="B90" s="167"/>
      <c r="C90" s="167"/>
      <c r="D90" s="167"/>
      <c r="E90" s="167"/>
      <c r="G90" s="167"/>
      <c r="I90" s="167"/>
      <c r="J90" s="167"/>
      <c r="K90" s="167"/>
      <c r="L90" s="167"/>
      <c r="M90" s="167"/>
    </row>
    <row r="91" spans="1:13">
      <c r="F91" s="178" t="s">
        <v>244</v>
      </c>
    </row>
    <row r="92" spans="1:13">
      <c r="F92" s="178" t="s">
        <v>245</v>
      </c>
    </row>
    <row r="97" spans="6:12" ht="15.75">
      <c r="F97" s="276" t="s">
        <v>240</v>
      </c>
    </row>
    <row r="99" spans="6:12" ht="15">
      <c r="F99" s="124" t="str">
        <f>"- Réalisé "&amp;annee-1</f>
        <v>- Réalisé 2022</v>
      </c>
    </row>
    <row r="100" spans="6:12" ht="15">
      <c r="F100" s="178" t="str">
        <f>"Le résultat net réalisé "&amp;annee-1&amp;" est de :"</f>
        <v>Le résultat net réalisé 2022 est de :</v>
      </c>
      <c r="K100" s="278">
        <f>+D35</f>
        <v>0</v>
      </c>
      <c r="L100" s="178" t="s">
        <v>138</v>
      </c>
    </row>
    <row r="101" spans="6:12">
      <c r="F101" s="279" t="s">
        <v>241</v>
      </c>
      <c r="G101" s="272"/>
      <c r="H101" s="272"/>
      <c r="I101" s="272"/>
      <c r="J101" s="272"/>
      <c r="K101" s="280">
        <f>+D26</f>
        <v>0</v>
      </c>
      <c r="L101" s="272" t="s">
        <v>138</v>
      </c>
    </row>
    <row r="102" spans="6:12">
      <c r="F102" s="279" t="s">
        <v>242</v>
      </c>
      <c r="G102" s="272"/>
      <c r="H102" s="272"/>
      <c r="I102" s="272"/>
      <c r="J102" s="272"/>
      <c r="K102" s="280">
        <f>D29</f>
        <v>0</v>
      </c>
      <c r="L102" s="272" t="s">
        <v>138</v>
      </c>
    </row>
    <row r="103" spans="6:12">
      <c r="F103" s="279" t="s">
        <v>243</v>
      </c>
      <c r="G103" s="272"/>
      <c r="H103" s="272"/>
      <c r="I103" s="272"/>
      <c r="J103" s="272"/>
      <c r="K103" s="280">
        <f>D33</f>
        <v>0</v>
      </c>
      <c r="L103" s="272" t="s">
        <v>138</v>
      </c>
    </row>
    <row r="104" spans="6:12">
      <c r="F104" s="272"/>
      <c r="G104" s="272"/>
      <c r="H104" s="272"/>
      <c r="I104" s="272"/>
      <c r="J104" s="272"/>
      <c r="K104" s="272"/>
      <c r="L104" s="272"/>
    </row>
    <row r="105" spans="6:12" ht="15">
      <c r="F105" s="124" t="str">
        <f>"- Projection de cloture ou réel "&amp;annee</f>
        <v>- Projection de cloture ou réel 2023</v>
      </c>
      <c r="G105" s="132"/>
      <c r="I105" s="132"/>
    </row>
    <row r="106" spans="6:12" ht="15">
      <c r="F106" s="178" t="str">
        <f>"Le résultat net prévisionnel "&amp;annee&amp;" est de :"</f>
        <v>Le résultat net prévisionnel 2023 est de :</v>
      </c>
      <c r="K106" s="278">
        <f>+F35</f>
        <v>0</v>
      </c>
      <c r="L106" s="178" t="s">
        <v>138</v>
      </c>
    </row>
    <row r="107" spans="6:12">
      <c r="F107" s="279" t="s">
        <v>241</v>
      </c>
      <c r="G107" s="272"/>
      <c r="H107" s="272"/>
      <c r="I107" s="272"/>
      <c r="J107" s="272"/>
      <c r="K107" s="280">
        <f>+F26</f>
        <v>0</v>
      </c>
      <c r="L107" s="272" t="s">
        <v>138</v>
      </c>
    </row>
    <row r="108" spans="6:12">
      <c r="F108" s="279"/>
      <c r="G108" s="272"/>
      <c r="H108" s="272"/>
      <c r="I108" s="272"/>
      <c r="J108" s="272"/>
      <c r="K108" s="280"/>
      <c r="L108" s="272"/>
    </row>
    <row r="109" spans="6:12" ht="15">
      <c r="F109" s="178" t="str">
        <f>"Par apport à "&amp;annee-1&amp;", le résultat augmente/baisse de : "</f>
        <v xml:space="preserve">Par apport à 2022, le résultat augmente/baisse de : </v>
      </c>
      <c r="K109" s="278" t="str">
        <f>+H35</f>
        <v/>
      </c>
      <c r="L109" s="178" t="s">
        <v>138</v>
      </c>
    </row>
    <row r="122" spans="2:4">
      <c r="B122" s="253"/>
      <c r="C122" s="253"/>
      <c r="D122" s="253"/>
    </row>
  </sheetData>
  <sheetProtection password="CF11" sheet="1" objects="1" scenarios="1" formatRows="0"/>
  <mergeCells count="25">
    <mergeCell ref="A54:K54"/>
    <mergeCell ref="F47:H47"/>
    <mergeCell ref="I47:L47"/>
    <mergeCell ref="F48:H48"/>
    <mergeCell ref="I48:L48"/>
    <mergeCell ref="F49:H49"/>
    <mergeCell ref="I49:L49"/>
    <mergeCell ref="F44:H44"/>
    <mergeCell ref="I44:L44"/>
    <mergeCell ref="F45:H45"/>
    <mergeCell ref="I45:L45"/>
    <mergeCell ref="F46:H46"/>
    <mergeCell ref="I46:L46"/>
    <mergeCell ref="F40:H41"/>
    <mergeCell ref="I40:L41"/>
    <mergeCell ref="F42:H42"/>
    <mergeCell ref="I42:L42"/>
    <mergeCell ref="F43:H43"/>
    <mergeCell ref="I43:L43"/>
    <mergeCell ref="A5:K5"/>
    <mergeCell ref="A9:A10"/>
    <mergeCell ref="B9:C9"/>
    <mergeCell ref="D9:E9"/>
    <mergeCell ref="F9:G9"/>
    <mergeCell ref="H9:I9"/>
  </mergeCells>
  <conditionalFormatting sqref="B42:D42">
    <cfRule type="cellIs" dxfId="6" priority="11" operator="greaterThan">
      <formula>0.6</formula>
    </cfRule>
  </conditionalFormatting>
  <conditionalFormatting sqref="B48:D48">
    <cfRule type="cellIs" dxfId="5" priority="5" operator="greaterThan">
      <formula>0</formula>
    </cfRule>
    <cfRule type="cellIs" dxfId="4" priority="6" operator="lessThan">
      <formula>0</formula>
    </cfRule>
    <cfRule type="cellIs" dxfId="3" priority="1" operator="equal">
      <formula>0</formula>
    </cfRule>
  </conditionalFormatting>
  <conditionalFormatting sqref="B49:D49">
    <cfRule type="cellIs" dxfId="2" priority="3" operator="greaterThan">
      <formula>0</formula>
    </cfRule>
    <cfRule type="cellIs" dxfId="1" priority="4" operator="lessThan">
      <formula>0</formula>
    </cfRule>
    <cfRule type="cellIs" dxfId="0" priority="2" operator="equal">
      <formula>0</formula>
    </cfRule>
  </conditionalFormatting>
  <pageMargins left="0.23622047244094491" right="0.23622047244094491" top="0.74803149606299213" bottom="0.74803149606299213" header="0.51181102362204722" footer="0.31496062992125984"/>
  <pageSetup paperSize="9" scale="60" firstPageNumber="0" orientation="portrait" horizontalDpi="300" verticalDpi="300" r:id="rId1"/>
  <headerFooter>
    <oddFooter>&amp;LContrôle de Gestion&amp;C&amp;D&amp;RPage 4</oddFooter>
  </headerFooter>
  <rowBreaks count="1" manualBreakCount="1">
    <brk id="5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9"/>
  <sheetViews>
    <sheetView showGridLines="0" zoomScale="90" zoomScaleNormal="90" workbookViewId="0">
      <selection activeCell="C11" sqref="C11"/>
    </sheetView>
  </sheetViews>
  <sheetFormatPr baseColWidth="10" defaultRowHeight="27"/>
  <cols>
    <col min="1" max="1" width="6" style="336" customWidth="1"/>
    <col min="2" max="2" width="15.28515625" style="329" customWidth="1"/>
    <col min="3" max="3" width="145.28515625" style="321" customWidth="1"/>
    <col min="4" max="16384" width="11.42578125" style="321"/>
  </cols>
  <sheetData>
    <row r="1" spans="1:3" s="334" customFormat="1">
      <c r="A1" s="335"/>
      <c r="B1" s="445" t="s">
        <v>337</v>
      </c>
      <c r="C1" s="445"/>
    </row>
    <row r="2" spans="1:3" s="334" customFormat="1" ht="17.25" customHeight="1" thickBot="1">
      <c r="A2" s="335"/>
      <c r="B2" s="333"/>
      <c r="C2" s="333"/>
    </row>
    <row r="3" spans="1:3" s="334" customFormat="1">
      <c r="A3" s="338"/>
      <c r="B3" s="452" t="s">
        <v>340</v>
      </c>
      <c r="C3" s="351" t="s">
        <v>346</v>
      </c>
    </row>
    <row r="4" spans="1:3" s="334" customFormat="1">
      <c r="A4" s="339"/>
      <c r="B4" s="453"/>
      <c r="C4" s="323" t="s">
        <v>341</v>
      </c>
    </row>
    <row r="5" spans="1:3" s="334" customFormat="1" ht="45" customHeight="1" thickBot="1">
      <c r="A5" s="340"/>
      <c r="B5" s="454"/>
      <c r="C5" s="352" t="s">
        <v>345</v>
      </c>
    </row>
    <row r="6" spans="1:3" s="334" customFormat="1" ht="13.5" customHeight="1" thickBot="1">
      <c r="A6" s="335"/>
      <c r="B6" s="333"/>
      <c r="C6" s="337"/>
    </row>
    <row r="7" spans="1:3" ht="69.75" customHeight="1">
      <c r="A7" s="446" t="s">
        <v>332</v>
      </c>
      <c r="B7" s="452" t="s">
        <v>333</v>
      </c>
      <c r="C7" s="322" t="s">
        <v>357</v>
      </c>
    </row>
    <row r="8" spans="1:3" ht="50.25" customHeight="1">
      <c r="A8" s="447"/>
      <c r="B8" s="453"/>
      <c r="C8" s="323" t="s">
        <v>347</v>
      </c>
    </row>
    <row r="9" spans="1:3" ht="34.5" customHeight="1" thickBot="1">
      <c r="A9" s="447"/>
      <c r="B9" s="454"/>
      <c r="C9" s="324" t="s">
        <v>338</v>
      </c>
    </row>
    <row r="10" spans="1:3" ht="255" customHeight="1" thickBot="1">
      <c r="A10" s="448"/>
      <c r="B10" s="325" t="s">
        <v>334</v>
      </c>
      <c r="C10" s="326" t="s">
        <v>359</v>
      </c>
    </row>
    <row r="11" spans="1:3" s="334" customFormat="1" ht="7.5" customHeight="1" thickBot="1">
      <c r="A11" s="335"/>
      <c r="B11" s="353"/>
      <c r="C11" s="354"/>
    </row>
    <row r="12" spans="1:3" ht="150.75" customHeight="1" thickBot="1">
      <c r="A12" s="449" t="s">
        <v>335</v>
      </c>
      <c r="B12" s="348" t="s">
        <v>333</v>
      </c>
      <c r="C12" s="328" t="s">
        <v>348</v>
      </c>
    </row>
    <row r="13" spans="1:3" ht="162" customHeight="1">
      <c r="A13" s="450"/>
      <c r="B13" s="455" t="s">
        <v>336</v>
      </c>
      <c r="C13" s="331" t="s">
        <v>349</v>
      </c>
    </row>
    <row r="14" spans="1:3" ht="96.75" customHeight="1" thickBot="1">
      <c r="A14" s="451"/>
      <c r="B14" s="456"/>
      <c r="C14" s="332" t="s">
        <v>339</v>
      </c>
    </row>
    <row r="19" spans="3:3">
      <c r="C19" s="327"/>
    </row>
  </sheetData>
  <mergeCells count="6">
    <mergeCell ref="B1:C1"/>
    <mergeCell ref="A7:A10"/>
    <mergeCell ref="A12:A14"/>
    <mergeCell ref="B7:B9"/>
    <mergeCell ref="B13:B14"/>
    <mergeCell ref="B3:B5"/>
  </mergeCells>
  <pageMargins left="0.23622047244094491" right="0.23622047244094491" top="0.59055118110236227" bottom="0.59055118110236227" header="0.31496062992125984" footer="0.31496062992125984"/>
  <pageSetup paperSize="9" scale="87" fitToHeight="0" orientation="landscape" r:id="rId1"/>
  <drawing r:id="rId2"/>
</worksheet>
</file>

<file path=docProps/app.xml><?xml version="1.0" encoding="utf-8"?>
<Properties xmlns="http://schemas.openxmlformats.org/officeDocument/2006/extended-properties" xmlns:vt="http://schemas.openxmlformats.org/officeDocument/2006/docPropsVTypes">
  <Template/>
  <TotalTime>11</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9</vt:i4>
      </vt:variant>
    </vt:vector>
  </HeadingPairs>
  <TitlesOfParts>
    <vt:vector size="15" baseType="lpstr">
      <vt:lpstr>Bilan</vt:lpstr>
      <vt:lpstr>Compte de résultat</vt:lpstr>
      <vt:lpstr>Lexique</vt:lpstr>
      <vt:lpstr>Ratios Bilan</vt:lpstr>
      <vt:lpstr>Ratios Compte Résultat</vt:lpstr>
      <vt:lpstr>Mode d'emploi</vt:lpstr>
      <vt:lpstr>annee</vt:lpstr>
      <vt:lpstr>date</vt:lpstr>
      <vt:lpstr>nom</vt:lpstr>
      <vt:lpstr>Bilan!Zone_d_impression</vt:lpstr>
      <vt:lpstr>'Compte de résultat'!Zone_d_impression</vt:lpstr>
      <vt:lpstr>Lexique!Zone_d_impression</vt:lpstr>
      <vt:lpstr>'Mode d''emploi'!Zone_d_impression</vt:lpstr>
      <vt:lpstr>'Ratios Bilan'!Zone_d_impression</vt:lpstr>
      <vt:lpstr>'Ratios Compte Résultat'!Zone_d_impression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staggesdel2</dc:creator>
  <cp:lastModifiedBy>DEBAIN LAURIE</cp:lastModifiedBy>
  <cp:revision>3</cp:revision>
  <cp:lastPrinted>2019-08-08T08:43:56Z</cp:lastPrinted>
  <dcterms:created xsi:type="dcterms:W3CDTF">2009-04-08T10:43:16Z</dcterms:created>
  <dcterms:modified xsi:type="dcterms:W3CDTF">2023-07-05T08:14:11Z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